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ocuments\!_WebGL\3 Flight\2 ACflyt\xtra\worksheets\"/>
    </mc:Choice>
  </mc:AlternateContent>
  <bookViews>
    <workbookView xWindow="0" yWindow="0" windowWidth="19200" windowHeight="11295"/>
  </bookViews>
  <sheets>
    <sheet name="Units" sheetId="1" r:id="rId1"/>
    <sheet name="Char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2" l="1"/>
  <c r="C27" i="1"/>
  <c r="P28" i="1" l="1"/>
  <c r="O28" i="1"/>
  <c r="C28" i="1"/>
  <c r="B28" i="1"/>
  <c r="B24" i="2" l="1"/>
  <c r="H24" i="2" l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N2" i="1" l="1"/>
  <c r="P38" i="1" l="1"/>
  <c r="P39" i="1"/>
  <c r="T15" i="1" l="1"/>
  <c r="X7" i="1"/>
  <c r="X6" i="1"/>
  <c r="X5" i="1"/>
  <c r="T8" i="1"/>
  <c r="T17" i="1"/>
  <c r="T13" i="1"/>
  <c r="T11" i="1"/>
  <c r="P7" i="1"/>
  <c r="P15" i="1"/>
  <c r="P16" i="1"/>
  <c r="P13" i="1"/>
  <c r="P14" i="1"/>
  <c r="B12" i="2" l="1"/>
  <c r="H12" i="2" s="1"/>
  <c r="B6" i="2"/>
  <c r="B7" i="2"/>
  <c r="B10" i="2"/>
  <c r="B11" i="2"/>
  <c r="B8" i="2"/>
  <c r="B9" i="2"/>
  <c r="H9" i="2" l="1"/>
  <c r="H8" i="2"/>
  <c r="H11" i="2"/>
  <c r="H10" i="2"/>
  <c r="H7" i="2"/>
  <c r="H6" i="2"/>
  <c r="B13" i="2"/>
  <c r="H13" i="2" l="1"/>
  <c r="B14" i="2"/>
  <c r="H14" i="2" l="1"/>
  <c r="B15" i="2"/>
  <c r="H15" i="2" l="1"/>
  <c r="B16" i="2"/>
  <c r="H16" i="2" l="1"/>
  <c r="B17" i="2"/>
  <c r="H17" i="2" l="1"/>
  <c r="B18" i="2"/>
  <c r="H18" i="2" l="1"/>
  <c r="B19" i="2"/>
  <c r="H19" i="2" l="1"/>
  <c r="B20" i="2"/>
  <c r="H20" i="2" l="1"/>
  <c r="Q31" i="1" l="1"/>
  <c r="R31" i="1" s="1"/>
  <c r="D31" i="1"/>
  <c r="E31" i="1" s="1"/>
  <c r="C17" i="1"/>
  <c r="C8" i="1"/>
  <c r="P8" i="1"/>
  <c r="G7" i="1"/>
  <c r="C24" i="2" s="1"/>
  <c r="J24" i="2" s="1"/>
  <c r="C6" i="1"/>
  <c r="D24" i="2" l="1"/>
  <c r="E24" i="2" s="1"/>
  <c r="Z8" i="1"/>
  <c r="W35" i="1"/>
  <c r="P6" i="1"/>
  <c r="P5" i="1" s="1"/>
  <c r="Z5" i="1" s="1"/>
  <c r="C12" i="2"/>
  <c r="C11" i="2"/>
  <c r="C7" i="2"/>
  <c r="C6" i="2"/>
  <c r="C10" i="2"/>
  <c r="C9" i="2"/>
  <c r="C8" i="2"/>
  <c r="C13" i="2"/>
  <c r="C14" i="2"/>
  <c r="C15" i="2"/>
  <c r="C16" i="2"/>
  <c r="C17" i="2"/>
  <c r="C18" i="2"/>
  <c r="C19" i="2"/>
  <c r="C20" i="2"/>
  <c r="C10" i="1"/>
  <c r="G12" i="1" s="1"/>
  <c r="G14" i="1" s="1"/>
  <c r="B27" i="1" s="1"/>
  <c r="I31" i="1"/>
  <c r="K31" i="1" s="1"/>
  <c r="F31" i="1"/>
  <c r="P17" i="1"/>
  <c r="J35" i="1"/>
  <c r="V31" i="1"/>
  <c r="X31" i="1" s="1"/>
  <c r="S31" i="1"/>
  <c r="P10" i="1"/>
  <c r="P9" i="1"/>
  <c r="S25" i="1" s="1"/>
  <c r="C9" i="1"/>
  <c r="B24" i="1" l="1"/>
  <c r="C24" i="1" s="1"/>
  <c r="D17" i="2"/>
  <c r="E17" i="2" s="1"/>
  <c r="J17" i="2"/>
  <c r="D16" i="2"/>
  <c r="E16" i="2" s="1"/>
  <c r="J16" i="2"/>
  <c r="D19" i="2"/>
  <c r="E19" i="2" s="1"/>
  <c r="J19" i="2"/>
  <c r="D18" i="2"/>
  <c r="E18" i="2" s="1"/>
  <c r="J18" i="2"/>
  <c r="D15" i="2"/>
  <c r="E15" i="2" s="1"/>
  <c r="J15" i="2"/>
  <c r="D9" i="2"/>
  <c r="E9" i="2" s="1"/>
  <c r="J9" i="2"/>
  <c r="D10" i="2"/>
  <c r="E10" i="2" s="1"/>
  <c r="J10" i="2"/>
  <c r="D6" i="2"/>
  <c r="E6" i="2" s="1"/>
  <c r="J6" i="2"/>
  <c r="D7" i="2"/>
  <c r="E7" i="2" s="1"/>
  <c r="J7" i="2"/>
  <c r="D11" i="2"/>
  <c r="E11" i="2" s="1"/>
  <c r="J11" i="2"/>
  <c r="D14" i="2"/>
  <c r="E14" i="2" s="1"/>
  <c r="J14" i="2"/>
  <c r="D12" i="2"/>
  <c r="E12" i="2" s="1"/>
  <c r="J12" i="2"/>
  <c r="D13" i="2"/>
  <c r="E13" i="2" s="1"/>
  <c r="J13" i="2"/>
  <c r="D20" i="2"/>
  <c r="E20" i="2" s="1"/>
  <c r="J20" i="2"/>
  <c r="D8" i="2"/>
  <c r="E8" i="2" s="1"/>
  <c r="J8" i="2"/>
  <c r="I24" i="2"/>
  <c r="F24" i="2"/>
  <c r="G24" i="2" s="1"/>
  <c r="F25" i="1"/>
  <c r="Z9" i="1"/>
  <c r="T12" i="1"/>
  <c r="T14" i="1" s="1"/>
  <c r="O24" i="1" l="1"/>
  <c r="P24" i="1" s="1"/>
  <c r="O27" i="1"/>
  <c r="P27" i="1" s="1"/>
  <c r="I20" i="2"/>
  <c r="F20" i="2"/>
  <c r="G20" i="2" s="1"/>
  <c r="I8" i="2"/>
  <c r="F8" i="2"/>
  <c r="G8" i="2" s="1"/>
  <c r="I15" i="2"/>
  <c r="F15" i="2"/>
  <c r="G15" i="2" s="1"/>
  <c r="I19" i="2"/>
  <c r="F19" i="2"/>
  <c r="G19" i="2" s="1"/>
  <c r="I13" i="2"/>
  <c r="F13" i="2"/>
  <c r="G13" i="2" s="1"/>
  <c r="I10" i="2"/>
  <c r="F10" i="2"/>
  <c r="G10" i="2" s="1"/>
  <c r="I11" i="2"/>
  <c r="F11" i="2"/>
  <c r="G11" i="2" s="1"/>
  <c r="I9" i="2"/>
  <c r="F9" i="2"/>
  <c r="G9" i="2" s="1"/>
  <c r="I6" i="2"/>
  <c r="F6" i="2"/>
  <c r="G6" i="2" s="1"/>
  <c r="I14" i="2"/>
  <c r="F14" i="2"/>
  <c r="G14" i="2" s="1"/>
  <c r="I7" i="2"/>
  <c r="F7" i="2"/>
  <c r="G7" i="2" s="1"/>
  <c r="I18" i="2"/>
  <c r="F18" i="2"/>
  <c r="G18" i="2" s="1"/>
  <c r="I17" i="2"/>
  <c r="F17" i="2"/>
  <c r="G17" i="2" s="1"/>
  <c r="I16" i="2"/>
  <c r="F16" i="2"/>
  <c r="G16" i="2" s="1"/>
  <c r="I12" i="2"/>
  <c r="F12" i="2"/>
  <c r="G12" i="2" s="1"/>
  <c r="D24" i="1" l="1"/>
  <c r="E24" i="1" s="1"/>
  <c r="Q24" i="1"/>
  <c r="R24" i="1" s="1"/>
  <c r="H24" i="1" l="1"/>
  <c r="J24" i="1"/>
  <c r="J32" i="1" s="1"/>
  <c r="I24" i="1"/>
  <c r="Z24" i="1"/>
  <c r="W24" i="1"/>
  <c r="W32" i="1" s="1"/>
  <c r="V24" i="1"/>
  <c r="U24" i="1"/>
  <c r="K24" i="1" l="1"/>
  <c r="Z27" i="1"/>
  <c r="X24" i="1"/>
  <c r="K15" i="2"/>
  <c r="L15" i="2" s="1"/>
  <c r="K8" i="2"/>
  <c r="L8" i="2" s="1"/>
  <c r="K6" i="2"/>
  <c r="L6" i="2" s="1"/>
  <c r="K11" i="2"/>
  <c r="L11" i="2" s="1"/>
  <c r="K19" i="2"/>
  <c r="L19" i="2" s="1"/>
  <c r="K14" i="2"/>
  <c r="L14" i="2" s="1"/>
  <c r="K13" i="2"/>
  <c r="L13" i="2" s="1"/>
  <c r="K17" i="2"/>
  <c r="L17" i="2" s="1"/>
  <c r="K16" i="2"/>
  <c r="L16" i="2" s="1"/>
  <c r="K10" i="2"/>
  <c r="L10" i="2" s="1"/>
  <c r="G16" i="1"/>
  <c r="G18" i="1" s="1"/>
  <c r="K9" i="2"/>
  <c r="L9" i="2" s="1"/>
  <c r="K12" i="2"/>
  <c r="L12" i="2" s="1"/>
  <c r="K20" i="2"/>
  <c r="L20" i="2" s="1"/>
  <c r="K18" i="2"/>
  <c r="L18" i="2" s="1"/>
  <c r="K7" i="2"/>
  <c r="L7" i="2" s="1"/>
  <c r="K24" i="2"/>
  <c r="L24" i="2" s="1"/>
  <c r="P18" i="1"/>
  <c r="T16" i="1" s="1"/>
  <c r="T18" i="1" s="1"/>
  <c r="Z28" i="1" l="1"/>
  <c r="T19" i="1"/>
  <c r="P26" i="1"/>
  <c r="P29" i="1" s="1"/>
  <c r="Q29" i="1" s="1"/>
  <c r="R29" i="1" s="1"/>
  <c r="G19" i="1"/>
  <c r="C26" i="1"/>
  <c r="Z26" i="1" l="1"/>
  <c r="C29" i="1"/>
  <c r="S29" i="1"/>
  <c r="S30" i="1" s="1"/>
  <c r="S32" i="1" s="1"/>
  <c r="R30" i="1"/>
  <c r="U30" i="1" l="1"/>
  <c r="V30" i="1"/>
  <c r="V32" i="1" s="1"/>
  <c r="Z29" i="1"/>
  <c r="D29" i="1"/>
  <c r="E29" i="1" s="1"/>
  <c r="E30" i="1" l="1"/>
  <c r="F29" i="1"/>
  <c r="F30" i="1" s="1"/>
  <c r="F32" i="1" s="1"/>
  <c r="U32" i="1"/>
  <c r="W33" i="1" s="1"/>
  <c r="W34" i="1" s="1"/>
  <c r="X30" i="1"/>
  <c r="V33" i="1" l="1"/>
  <c r="H30" i="1"/>
  <c r="I30" i="1"/>
  <c r="I32" i="1" s="1"/>
  <c r="K30" i="1" l="1"/>
  <c r="H32" i="1"/>
  <c r="J33" i="1" s="1"/>
  <c r="J34" i="1" s="1"/>
  <c r="I33" i="1" l="1"/>
</calcChain>
</file>

<file path=xl/sharedStrings.xml><?xml version="1.0" encoding="utf-8"?>
<sst xmlns="http://schemas.openxmlformats.org/spreadsheetml/2006/main" count="223" uniqueCount="119">
  <si>
    <t>AIRCRAFT FLIGHT VECTORS</t>
  </si>
  <si>
    <t>P-51 MUSTANG</t>
  </si>
  <si>
    <t>US UNITS</t>
  </si>
  <si>
    <t>SI UNITS</t>
  </si>
  <si>
    <t>AIRCRAFT PERFORMANCE</t>
  </si>
  <si>
    <t>BASIC DATA</t>
  </si>
  <si>
    <t>ORIENTATION</t>
  </si>
  <si>
    <t>Weight (W)</t>
  </si>
  <si>
    <t>lbs</t>
  </si>
  <si>
    <t>Gravity (g)</t>
  </si>
  <si>
    <t>ft/s2</t>
  </si>
  <si>
    <t>Bank</t>
  </si>
  <si>
    <t>deg</t>
  </si>
  <si>
    <t>Gravity (force)</t>
  </si>
  <si>
    <t>N</t>
  </si>
  <si>
    <t>m/s2</t>
  </si>
  <si>
    <t>Mass (m)</t>
  </si>
  <si>
    <t>slugs</t>
  </si>
  <si>
    <t>Density at SL (p)</t>
  </si>
  <si>
    <t>lb/ft3</t>
  </si>
  <si>
    <t>Pitch</t>
  </si>
  <si>
    <t>Mass (M)</t>
  </si>
  <si>
    <t>kg</t>
  </si>
  <si>
    <t>kg/m3</t>
  </si>
  <si>
    <t>Speed</t>
  </si>
  <si>
    <t>mph</t>
  </si>
  <si>
    <t>Density (sea level)</t>
  </si>
  <si>
    <t>Heading</t>
  </si>
  <si>
    <t>kmph</t>
  </si>
  <si>
    <t>Delta Time (t)</t>
  </si>
  <si>
    <t>sec</t>
  </si>
  <si>
    <t>m/s</t>
  </si>
  <si>
    <t>m/t</t>
  </si>
  <si>
    <t>Dyn Pres (Q)</t>
  </si>
  <si>
    <t>lb/ft2</t>
  </si>
  <si>
    <t>LEVEL FLIGHT</t>
  </si>
  <si>
    <t>EQUATIONS</t>
  </si>
  <si>
    <t>DynPres (Q)</t>
  </si>
  <si>
    <t>kg/m2</t>
  </si>
  <si>
    <t>Lift</t>
  </si>
  <si>
    <t>AIRCRAFT CONSTANTS</t>
  </si>
  <si>
    <t>Thrust</t>
  </si>
  <si>
    <t>DragP</t>
  </si>
  <si>
    <t>DragI</t>
  </si>
  <si>
    <t>ft</t>
  </si>
  <si>
    <t>Cl</t>
  </si>
  <si>
    <t>m</t>
  </si>
  <si>
    <t>ft2</t>
  </si>
  <si>
    <t>BHP Max</t>
  </si>
  <si>
    <t>DyPr (Q)</t>
  </si>
  <si>
    <t>m2</t>
  </si>
  <si>
    <t>kg_m/s</t>
  </si>
  <si>
    <t>BHP Req - Lvl Flt</t>
  </si>
  <si>
    <t>Cd0</t>
  </si>
  <si>
    <t>BHP Mul</t>
  </si>
  <si>
    <t>BHP Use</t>
  </si>
  <si>
    <t xml:space="preserve"> Relative to Aircraft (not Map)</t>
  </si>
  <si>
    <t>VECTORS</t>
  </si>
  <si>
    <t>Force</t>
  </si>
  <si>
    <t>Accel</t>
  </si>
  <si>
    <t>Z</t>
  </si>
  <si>
    <t>Y</t>
  </si>
  <si>
    <t>X</t>
  </si>
  <si>
    <t>Err Chk</t>
  </si>
  <si>
    <t>ft/t2</t>
  </si>
  <si>
    <t>m/t2</t>
  </si>
  <si>
    <t>Speed - Beg</t>
  </si>
  <si>
    <t>Speed - End</t>
  </si>
  <si>
    <t>Gravity</t>
  </si>
  <si>
    <t>Totals</t>
  </si>
  <si>
    <t>Angles (Pitch and Turn Rate)</t>
  </si>
  <si>
    <t>Turn Rate</t>
  </si>
  <si>
    <t>per Formula</t>
  </si>
  <si>
    <t>TAN(Bank) * Gravity / Speed</t>
  </si>
  <si>
    <t>kW Use</t>
  </si>
  <si>
    <t>kW Mul</t>
  </si>
  <si>
    <t>kW Required</t>
  </si>
  <si>
    <t>kW Max</t>
  </si>
  <si>
    <t>CHARTS</t>
  </si>
  <si>
    <t>DynPres</t>
  </si>
  <si>
    <t>MPH</t>
  </si>
  <si>
    <t>FPS</t>
  </si>
  <si>
    <t>accel</t>
  </si>
  <si>
    <t>net</t>
  </si>
  <si>
    <t>Net</t>
  </si>
  <si>
    <t>Total</t>
  </si>
  <si>
    <t>Drag</t>
  </si>
  <si>
    <t>Min Alt</t>
  </si>
  <si>
    <t>Altitude - Starting</t>
  </si>
  <si>
    <t>ACPowr</t>
  </si>
  <si>
    <t>Cl Max</t>
  </si>
  <si>
    <t>Cl Req - Lvl Flt</t>
  </si>
  <si>
    <t>Cl Mult</t>
  </si>
  <si>
    <t>Cl Use</t>
  </si>
  <si>
    <t>lb_ft/s</t>
  </si>
  <si>
    <t>f/s</t>
  </si>
  <si>
    <t>f/t</t>
  </si>
  <si>
    <t>MAXIMUM LEVEL SPEED</t>
  </si>
  <si>
    <t>The maximum speed is approximately proportional to the cube root of the ratio of the power to the drag area.</t>
  </si>
  <si>
    <t>Vmax at Sea Level (use this information to compute Cd0)</t>
  </si>
  <si>
    <r>
      <rPr>
        <b/>
        <sz val="10"/>
        <color theme="1"/>
        <rFont val="Arial Narrow"/>
        <family val="2"/>
      </rPr>
      <t>Note:</t>
    </r>
    <r>
      <rPr>
        <sz val="10"/>
        <color theme="1"/>
        <rFont val="Arial Narrow"/>
        <family val="2"/>
      </rPr>
      <t xml:space="preserve"> Using sea level performance should yield the most accurate result since changes in altitude cause changes to air density, BHP and drag.</t>
    </r>
  </si>
  <si>
    <t>Cf</t>
  </si>
  <si>
    <t>Net Thrust</t>
  </si>
  <si>
    <t>Cdi</t>
  </si>
  <si>
    <t>.70-.85</t>
  </si>
  <si>
    <t>.70-.75</t>
  </si>
  <si>
    <t>Speed (V)</t>
  </si>
  <si>
    <t>Aspect Ratio (A)</t>
  </si>
  <si>
    <t>Wing Area (S)</t>
  </si>
  <si>
    <t>= Q * S * Cl</t>
  </si>
  <si>
    <t>= Q * S * Cdi</t>
  </si>
  <si>
    <t xml:space="preserve">= Q * S * Cd0 </t>
  </si>
  <si>
    <t>Wing Span (b)</t>
  </si>
  <si>
    <t>Prop Efficiency (n)</t>
  </si>
  <si>
    <t>Wing Efficiency (e)</t>
  </si>
  <si>
    <t>= 550 * BHP * n / V</t>
  </si>
  <si>
    <t>= Watts * n / V</t>
  </si>
  <si>
    <t>= Cl2 / (A * e * pi)</t>
  </si>
  <si>
    <t>= 1/2 * p * 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</si>
</sst>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;\(0\)"/>
    <numFmt numFmtId="165" formatCode="0.000_);\(0.000\)"/>
    <numFmt numFmtId="166" formatCode="0.00_);\(0.00\)"/>
    <numFmt numFmtId="167" formatCode="0.0000_);\(0.0000\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164" fontId="2" fillId="2" borderId="1" xfId="0" applyNumberFormat="1" applyFont="1" applyFill="1" applyBorder="1"/>
    <xf numFmtId="165" fontId="2" fillId="3" borderId="1" xfId="0" applyNumberFormat="1" applyFont="1" applyFill="1" applyBorder="1"/>
    <xf numFmtId="166" fontId="2" fillId="2" borderId="1" xfId="0" applyNumberFormat="1" applyFont="1" applyFill="1" applyBorder="1"/>
    <xf numFmtId="164" fontId="2" fillId="3" borderId="1" xfId="0" applyNumberFormat="1" applyFont="1" applyFill="1" applyBorder="1"/>
    <xf numFmtId="166" fontId="2" fillId="0" borderId="1" xfId="0" applyNumberFormat="1" applyFont="1" applyFill="1" applyBorder="1"/>
    <xf numFmtId="167" fontId="2" fillId="3" borderId="1" xfId="0" applyNumberFormat="1" applyFont="1" applyFill="1" applyBorder="1"/>
    <xf numFmtId="0" fontId="2" fillId="0" borderId="0" xfId="0" applyFont="1" applyFill="1"/>
    <xf numFmtId="167" fontId="2" fillId="2" borderId="1" xfId="0" applyNumberFormat="1" applyFont="1" applyFill="1" applyBorder="1"/>
    <xf numFmtId="166" fontId="2" fillId="4" borderId="1" xfId="0" applyNumberFormat="1" applyFont="1" applyFill="1" applyBorder="1"/>
    <xf numFmtId="164" fontId="2" fillId="0" borderId="1" xfId="0" applyNumberFormat="1" applyFont="1" applyFill="1" applyBorder="1"/>
    <xf numFmtId="0" fontId="2" fillId="0" borderId="0" xfId="0" quotePrefix="1" applyFont="1"/>
    <xf numFmtId="166" fontId="2" fillId="3" borderId="1" xfId="0" applyNumberFormat="1" applyFont="1" applyFill="1" applyBorder="1"/>
    <xf numFmtId="164" fontId="2" fillId="5" borderId="1" xfId="0" applyNumberFormat="1" applyFont="1" applyFill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7" fontId="2" fillId="0" borderId="1" xfId="0" applyNumberFormat="1" applyFont="1" applyBorder="1" applyAlignment="1"/>
    <xf numFmtId="167" fontId="2" fillId="0" borderId="0" xfId="0" applyNumberFormat="1" applyFont="1"/>
    <xf numFmtId="166" fontId="2" fillId="0" borderId="1" xfId="0" applyNumberFormat="1" applyFont="1" applyBorder="1"/>
    <xf numFmtId="164" fontId="2" fillId="0" borderId="1" xfId="0" applyNumberFormat="1" applyFont="1" applyBorder="1"/>
    <xf numFmtId="166" fontId="2" fillId="0" borderId="0" xfId="0" applyNumberFormat="1" applyFont="1"/>
    <xf numFmtId="166" fontId="2" fillId="5" borderId="1" xfId="0" applyNumberFormat="1" applyFont="1" applyFill="1" applyBorder="1"/>
    <xf numFmtId="167" fontId="2" fillId="0" borderId="1" xfId="0" applyNumberFormat="1" applyFont="1" applyFill="1" applyBorder="1"/>
    <xf numFmtId="164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2" fillId="0" borderId="0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5" fontId="2" fillId="0" borderId="1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11" xfId="0" applyFont="1" applyBorder="1"/>
    <xf numFmtId="0" fontId="1" fillId="0" borderId="10" xfId="0" applyFont="1" applyBorder="1" applyAlignment="1"/>
    <xf numFmtId="0" fontId="1" fillId="0" borderId="12" xfId="0" applyFont="1" applyBorder="1" applyAlignment="1"/>
    <xf numFmtId="0" fontId="1" fillId="0" borderId="0" xfId="0" applyFont="1" applyBorder="1"/>
    <xf numFmtId="0" fontId="1" fillId="0" borderId="0" xfId="0" applyFont="1" applyBorder="1" applyAlignment="1"/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/>
    <xf numFmtId="164" fontId="2" fillId="0" borderId="12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7" fontId="2" fillId="5" borderId="1" xfId="0" applyNumberFormat="1" applyFont="1" applyFill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2" fillId="0" borderId="2" xfId="0" applyNumberFormat="1" applyFont="1" applyBorder="1" applyAlignment="1">
      <alignment horizontal="justify" vertical="top" wrapText="1"/>
    </xf>
    <xf numFmtId="164" fontId="2" fillId="0" borderId="3" xfId="0" applyNumberFormat="1" applyFont="1" applyBorder="1" applyAlignment="1">
      <alignment horizontal="justify" vertical="top" wrapText="1"/>
    </xf>
    <xf numFmtId="164" fontId="2" fillId="0" borderId="4" xfId="0" applyNumberFormat="1" applyFont="1" applyBorder="1" applyAlignment="1">
      <alignment horizontal="justify" vertical="top" wrapText="1"/>
    </xf>
    <xf numFmtId="164" fontId="2" fillId="0" borderId="7" xfId="0" applyNumberFormat="1" applyFont="1" applyBorder="1" applyAlignment="1">
      <alignment horizontal="justify" vertical="top" wrapText="1"/>
    </xf>
    <xf numFmtId="164" fontId="2" fillId="0" borderId="8" xfId="0" applyNumberFormat="1" applyFont="1" applyBorder="1" applyAlignment="1">
      <alignment horizontal="justify" vertical="top" wrapText="1"/>
    </xf>
    <xf numFmtId="164" fontId="2" fillId="0" borderId="9" xfId="0" applyNumberFormat="1" applyFont="1" applyBorder="1" applyAlignment="1">
      <alignment horizontal="justify" vertical="top" wrapText="1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Thrust</a:t>
            </a:r>
            <a:r>
              <a:rPr lang="en-US" baseline="0"/>
              <a:t> vs. Drag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92712611770482"/>
          <c:y val="7.6057994970215356E-2"/>
          <c:w val="0.84922885924606473"/>
          <c:h val="0.79835319136288363"/>
        </c:manualLayout>
      </c:layout>
      <c:scatterChart>
        <c:scatterStyle val="lineMarker"/>
        <c:varyColors val="0"/>
        <c:ser>
          <c:idx val="0"/>
          <c:order val="0"/>
          <c:tx>
            <c:v>Thrust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Charts!$A$6:$A$20</c:f>
              <c:numCache>
                <c:formatCode>0_);\(0\)</c:formatCode>
                <c:ptCount val="15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325</c:v>
                </c:pt>
                <c:pt idx="10">
                  <c:v>350</c:v>
                </c:pt>
                <c:pt idx="11">
                  <c:v>375</c:v>
                </c:pt>
                <c:pt idx="12">
                  <c:v>400</c:v>
                </c:pt>
                <c:pt idx="13">
                  <c:v>425</c:v>
                </c:pt>
                <c:pt idx="14">
                  <c:v>450</c:v>
                </c:pt>
              </c:numCache>
            </c:numRef>
          </c:xVal>
          <c:yVal>
            <c:numRef>
              <c:f>Charts!$H$6:$H$20</c:f>
              <c:numCache>
                <c:formatCode>0_);\(0\)</c:formatCode>
                <c:ptCount val="15"/>
                <c:pt idx="0">
                  <c:v>4470</c:v>
                </c:pt>
                <c:pt idx="1">
                  <c:v>3576</c:v>
                </c:pt>
                <c:pt idx="2">
                  <c:v>2980</c:v>
                </c:pt>
                <c:pt idx="3">
                  <c:v>2554.2857142857142</c:v>
                </c:pt>
                <c:pt idx="4">
                  <c:v>2235</c:v>
                </c:pt>
                <c:pt idx="5">
                  <c:v>1986.6666666666667</c:v>
                </c:pt>
                <c:pt idx="6">
                  <c:v>1788</c:v>
                </c:pt>
                <c:pt idx="7">
                  <c:v>1625.4545454545455</c:v>
                </c:pt>
                <c:pt idx="8">
                  <c:v>1490</c:v>
                </c:pt>
                <c:pt idx="9">
                  <c:v>1375.3846153846152</c:v>
                </c:pt>
                <c:pt idx="10">
                  <c:v>1277.1428571428571</c:v>
                </c:pt>
                <c:pt idx="11">
                  <c:v>1192</c:v>
                </c:pt>
                <c:pt idx="12">
                  <c:v>1117.5</c:v>
                </c:pt>
                <c:pt idx="13">
                  <c:v>1051.7647058823529</c:v>
                </c:pt>
                <c:pt idx="14">
                  <c:v>993.33333333333337</c:v>
                </c:pt>
              </c:numCache>
            </c:numRef>
          </c:yVal>
          <c:smooth val="0"/>
        </c:ser>
        <c:ser>
          <c:idx val="1"/>
          <c:order val="1"/>
          <c:tx>
            <c:v>Drag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Charts!$A$6:$A$20</c:f>
              <c:numCache>
                <c:formatCode>0_);\(0\)</c:formatCode>
                <c:ptCount val="15"/>
                <c:pt idx="0">
                  <c:v>100</c:v>
                </c:pt>
                <c:pt idx="1">
                  <c:v>125</c:v>
                </c:pt>
                <c:pt idx="2">
                  <c:v>150</c:v>
                </c:pt>
                <c:pt idx="3">
                  <c:v>175</c:v>
                </c:pt>
                <c:pt idx="4">
                  <c:v>200</c:v>
                </c:pt>
                <c:pt idx="5">
                  <c:v>225</c:v>
                </c:pt>
                <c:pt idx="6">
                  <c:v>250</c:v>
                </c:pt>
                <c:pt idx="7">
                  <c:v>275</c:v>
                </c:pt>
                <c:pt idx="8">
                  <c:v>300</c:v>
                </c:pt>
                <c:pt idx="9">
                  <c:v>325</c:v>
                </c:pt>
                <c:pt idx="10">
                  <c:v>350</c:v>
                </c:pt>
                <c:pt idx="11">
                  <c:v>375</c:v>
                </c:pt>
                <c:pt idx="12">
                  <c:v>400</c:v>
                </c:pt>
                <c:pt idx="13">
                  <c:v>425</c:v>
                </c:pt>
                <c:pt idx="14">
                  <c:v>450</c:v>
                </c:pt>
              </c:numCache>
            </c:numRef>
          </c:xVal>
          <c:yVal>
            <c:numRef>
              <c:f>Charts!$K$6:$K$20</c:f>
              <c:numCache>
                <c:formatCode>0_);\(0\)</c:formatCode>
                <c:ptCount val="15"/>
                <c:pt idx="0">
                  <c:v>847.07890085414419</c:v>
                </c:pt>
                <c:pt idx="1">
                  <c:v>927.60555446638307</c:v>
                </c:pt>
                <c:pt idx="2">
                  <c:v>757.31485202642511</c:v>
                </c:pt>
                <c:pt idx="3">
                  <c:v>693.28686812335172</c:v>
                </c:pt>
                <c:pt idx="4">
                  <c:v>691.56682743030819</c:v>
                </c:pt>
                <c:pt idx="5">
                  <c:v>731.15625309564246</c:v>
                </c:pt>
                <c:pt idx="6">
                  <c:v>800.99543825683327</c:v>
                </c:pt>
                <c:pt idx="7">
                  <c:v>894.80971619069101</c:v>
                </c:pt>
                <c:pt idx="8">
                  <c:v>1008.8241444885481</c:v>
                </c:pt>
                <c:pt idx="9">
                  <c:v>1140.6571606488526</c:v>
                </c:pt>
                <c:pt idx="10">
                  <c:v>1288.7460543257032</c:v>
                </c:pt>
                <c:pt idx="11">
                  <c:v>1452.0309570509014</c:v>
                </c:pt>
                <c:pt idx="12">
                  <c:v>1629.7724739365847</c:v>
                </c:pt>
                <c:pt idx="13">
                  <c:v>1821.442061628889</c:v>
                </c:pt>
                <c:pt idx="14">
                  <c:v>2026.6537841082798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2704848"/>
        <c:axId val="472702496"/>
        <c:extLst/>
      </c:scatterChart>
      <c:valAx>
        <c:axId val="472704848"/>
        <c:scaling>
          <c:orientation val="minMax"/>
          <c:max val="450"/>
          <c:min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702496"/>
        <c:crosses val="autoZero"/>
        <c:crossBetween val="midCat"/>
        <c:majorUnit val="100"/>
      </c:valAx>
      <c:valAx>
        <c:axId val="472702496"/>
        <c:scaling>
          <c:orientation val="minMax"/>
          <c:max val="4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\(0\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704848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28574</xdr:colOff>
      <xdr:row>5</xdr:row>
      <xdr:rowOff>9525</xdr:rowOff>
    </xdr:from>
    <xdr:to>
      <xdr:col>23</xdr:col>
      <xdr:colOff>438149</xdr:colOff>
      <xdr:row>17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workbookViewId="0">
      <selection activeCell="W16" sqref="W16"/>
    </sheetView>
  </sheetViews>
  <sheetFormatPr defaultColWidth="6.7109375" defaultRowHeight="12.75" customHeight="1" x14ac:dyDescent="0.2"/>
  <cols>
    <col min="1" max="2" width="6.7109375" style="2"/>
    <col min="3" max="3" width="6.7109375" style="2" customWidth="1"/>
    <col min="4" max="4" width="6.7109375" style="2"/>
    <col min="5" max="5" width="6.7109375" style="2" customWidth="1"/>
    <col min="6" max="6" width="6.7109375" style="2"/>
    <col min="7" max="9" width="6.7109375" style="2" customWidth="1"/>
    <col min="10" max="10" width="7.42578125" style="2" bestFit="1" customWidth="1"/>
    <col min="11" max="11" width="6.7109375" style="2"/>
    <col min="12" max="19" width="6.7109375" style="2" customWidth="1"/>
    <col min="20" max="20" width="6.7109375" style="2"/>
    <col min="21" max="21" width="6.7109375" style="2" customWidth="1"/>
    <col min="22" max="22" width="6.7109375" style="2"/>
    <col min="23" max="27" width="6.7109375" style="2" customWidth="1"/>
    <col min="28" max="16384" width="6.7109375" style="2"/>
  </cols>
  <sheetData>
    <row r="1" spans="1:26" ht="12.75" customHeight="1" x14ac:dyDescent="0.2">
      <c r="A1" s="46" t="s">
        <v>0</v>
      </c>
      <c r="B1" s="21"/>
      <c r="C1" s="21"/>
      <c r="D1" s="21"/>
      <c r="E1" s="21"/>
      <c r="N1" s="46" t="s">
        <v>0</v>
      </c>
    </row>
    <row r="2" spans="1:26" ht="12.75" customHeight="1" x14ac:dyDescent="0.2">
      <c r="A2" s="44" t="s">
        <v>1</v>
      </c>
      <c r="B2" s="45"/>
      <c r="C2" s="45"/>
      <c r="D2" s="43"/>
      <c r="E2" s="21"/>
      <c r="I2" s="54" t="s">
        <v>2</v>
      </c>
      <c r="J2" s="55"/>
      <c r="N2" s="47" t="str">
        <f>A2</f>
        <v>P-51 MUSTANG</v>
      </c>
      <c r="P2" s="1"/>
      <c r="V2" s="54" t="s">
        <v>3</v>
      </c>
      <c r="W2" s="55"/>
    </row>
    <row r="3" spans="1:26" ht="12.75" customHeight="1" x14ac:dyDescent="0.2">
      <c r="P3" s="1"/>
    </row>
    <row r="4" spans="1:26" ht="12.75" customHeight="1" x14ac:dyDescent="0.2">
      <c r="A4" s="1" t="s">
        <v>4</v>
      </c>
      <c r="E4" s="1" t="s">
        <v>5</v>
      </c>
      <c r="I4" s="1" t="s">
        <v>6</v>
      </c>
      <c r="N4" s="1" t="s">
        <v>4</v>
      </c>
      <c r="Q4" s="3"/>
      <c r="R4" s="1" t="s">
        <v>5</v>
      </c>
      <c r="U4" s="3"/>
      <c r="V4" s="1" t="s">
        <v>6</v>
      </c>
      <c r="Z4" s="20" t="s">
        <v>63</v>
      </c>
    </row>
    <row r="5" spans="1:26" ht="12.75" customHeight="1" x14ac:dyDescent="0.2">
      <c r="A5" s="2" t="s">
        <v>7</v>
      </c>
      <c r="C5" s="4">
        <v>10000</v>
      </c>
      <c r="D5" s="2" t="s">
        <v>8</v>
      </c>
      <c r="E5" s="2" t="s">
        <v>9</v>
      </c>
      <c r="G5" s="5">
        <v>32.173999999999999</v>
      </c>
      <c r="H5" s="2" t="s">
        <v>10</v>
      </c>
      <c r="I5" s="2" t="s">
        <v>11</v>
      </c>
      <c r="K5" s="6">
        <v>30</v>
      </c>
      <c r="L5" s="2" t="s">
        <v>12</v>
      </c>
      <c r="N5" s="2" t="s">
        <v>13</v>
      </c>
      <c r="P5" s="7">
        <f>P6*T5</f>
        <v>44482.283284377074</v>
      </c>
      <c r="Q5" s="2" t="s">
        <v>14</v>
      </c>
      <c r="R5" s="2" t="s">
        <v>9</v>
      </c>
      <c r="T5" s="5">
        <v>9.8066499999999994</v>
      </c>
      <c r="U5" s="2" t="s">
        <v>15</v>
      </c>
      <c r="V5" s="2" t="s">
        <v>11</v>
      </c>
      <c r="X5" s="6">
        <f>$K5</f>
        <v>30</v>
      </c>
      <c r="Y5" s="2" t="s">
        <v>12</v>
      </c>
      <c r="Z5" s="42">
        <f>CONVERT(C5,"lbf","N")-P5</f>
        <v>-6.7131772077118512E-2</v>
      </c>
    </row>
    <row r="6" spans="1:26" ht="12.75" customHeight="1" x14ac:dyDescent="0.2">
      <c r="A6" s="2" t="s">
        <v>16</v>
      </c>
      <c r="C6" s="8">
        <f>C5/G5</f>
        <v>310.80997078386275</v>
      </c>
      <c r="D6" s="2" t="s">
        <v>17</v>
      </c>
      <c r="E6" s="2" t="s">
        <v>18</v>
      </c>
      <c r="G6" s="9">
        <v>7.6499999999999999E-2</v>
      </c>
      <c r="H6" s="10" t="s">
        <v>19</v>
      </c>
      <c r="I6" s="2" t="s">
        <v>20</v>
      </c>
      <c r="K6" s="6">
        <v>0</v>
      </c>
      <c r="L6" s="2" t="s">
        <v>12</v>
      </c>
      <c r="N6" s="2" t="s">
        <v>21</v>
      </c>
      <c r="P6" s="13">
        <f>CONVERT($C6,"sg","kg")</f>
        <v>4535.9305455356389</v>
      </c>
      <c r="Q6" s="2" t="s">
        <v>22</v>
      </c>
      <c r="R6" s="2" t="s">
        <v>18</v>
      </c>
      <c r="T6" s="9">
        <v>1.2250000000000001</v>
      </c>
      <c r="U6" s="2" t="s">
        <v>23</v>
      </c>
      <c r="V6" s="2" t="s">
        <v>20</v>
      </c>
      <c r="X6" s="6">
        <f>$K6</f>
        <v>0</v>
      </c>
      <c r="Y6" s="2" t="s">
        <v>12</v>
      </c>
    </row>
    <row r="7" spans="1:26" ht="12.75" customHeight="1" x14ac:dyDescent="0.2">
      <c r="A7" s="2" t="s">
        <v>24</v>
      </c>
      <c r="C7" s="6">
        <v>250</v>
      </c>
      <c r="D7" s="2" t="s">
        <v>25</v>
      </c>
      <c r="E7" s="2" t="s">
        <v>26</v>
      </c>
      <c r="G7" s="9">
        <f>G6/G5</f>
        <v>2.3776962764965499E-3</v>
      </c>
      <c r="H7" s="2" t="s">
        <v>17</v>
      </c>
      <c r="I7" s="2" t="s">
        <v>27</v>
      </c>
      <c r="K7" s="6">
        <v>0</v>
      </c>
      <c r="L7" s="2" t="s">
        <v>12</v>
      </c>
      <c r="N7" s="2" t="s">
        <v>24</v>
      </c>
      <c r="P7" s="8">
        <f>CONVERT($C7,"mph","m/h")/1000</f>
        <v>402.33600000000001</v>
      </c>
      <c r="Q7" s="2" t="s">
        <v>28</v>
      </c>
      <c r="V7" s="2" t="s">
        <v>27</v>
      </c>
      <c r="X7" s="6">
        <f>$K7</f>
        <v>0</v>
      </c>
      <c r="Y7" s="2" t="s">
        <v>12</v>
      </c>
    </row>
    <row r="8" spans="1:26" ht="12.75" customHeight="1" x14ac:dyDescent="0.2">
      <c r="A8" s="2" t="s">
        <v>106</v>
      </c>
      <c r="C8" s="8">
        <f>C7*5280/3600</f>
        <v>366.66666666666669</v>
      </c>
      <c r="D8" s="2" t="s">
        <v>95</v>
      </c>
      <c r="E8" s="2" t="s">
        <v>29</v>
      </c>
      <c r="G8" s="11">
        <v>0.1</v>
      </c>
      <c r="H8" s="2" t="s">
        <v>30</v>
      </c>
      <c r="N8" s="2" t="s">
        <v>106</v>
      </c>
      <c r="P8" s="8">
        <f>P7*1000/3600</f>
        <v>111.76</v>
      </c>
      <c r="Q8" s="2" t="s">
        <v>31</v>
      </c>
      <c r="R8" s="2" t="s">
        <v>29</v>
      </c>
      <c r="T8" s="11">
        <f>$G8</f>
        <v>0.1</v>
      </c>
      <c r="U8" s="2" t="s">
        <v>30</v>
      </c>
      <c r="Z8" s="42">
        <f>CONVERT(C8,"ft","m")-P8</f>
        <v>0</v>
      </c>
    </row>
    <row r="9" spans="1:26" ht="12.75" customHeight="1" x14ac:dyDescent="0.2">
      <c r="A9" s="2" t="s">
        <v>24</v>
      </c>
      <c r="C9" s="12">
        <f>C8*G8</f>
        <v>36.666666666666671</v>
      </c>
      <c r="D9" s="2" t="s">
        <v>96</v>
      </c>
      <c r="N9" s="2" t="s">
        <v>24</v>
      </c>
      <c r="P9" s="5">
        <f>P8*T8</f>
        <v>11.176000000000002</v>
      </c>
      <c r="Q9" s="2" t="s">
        <v>32</v>
      </c>
      <c r="Z9" s="42">
        <f>CONVERT(C9,"ft","m")-P9</f>
        <v>0</v>
      </c>
    </row>
    <row r="10" spans="1:26" ht="12.75" customHeight="1" x14ac:dyDescent="0.2">
      <c r="A10" s="2" t="s">
        <v>33</v>
      </c>
      <c r="C10" s="12">
        <f>0.5* $G$7 * C8^2</f>
        <v>159.83402747560143</v>
      </c>
      <c r="D10" s="10" t="s">
        <v>34</v>
      </c>
      <c r="E10" s="1" t="s">
        <v>35</v>
      </c>
      <c r="N10" s="2" t="s">
        <v>37</v>
      </c>
      <c r="P10" s="13">
        <f>0.5 * T6 * P8^2</f>
        <v>7650.3072800000018</v>
      </c>
      <c r="Q10" s="10" t="s">
        <v>38</v>
      </c>
      <c r="R10" s="1" t="s">
        <v>35</v>
      </c>
    </row>
    <row r="11" spans="1:26" ht="12.75" customHeight="1" x14ac:dyDescent="0.2">
      <c r="E11" s="2" t="s">
        <v>90</v>
      </c>
      <c r="G11" s="9">
        <v>1.32</v>
      </c>
      <c r="I11" s="1" t="s">
        <v>36</v>
      </c>
      <c r="R11" s="2" t="s">
        <v>90</v>
      </c>
      <c r="T11" s="9">
        <f>$G11</f>
        <v>1.32</v>
      </c>
      <c r="V11" s="1" t="s">
        <v>36</v>
      </c>
    </row>
    <row r="12" spans="1:26" ht="12.75" customHeight="1" x14ac:dyDescent="0.2">
      <c r="A12" s="1" t="s">
        <v>40</v>
      </c>
      <c r="E12" s="2" t="s">
        <v>91</v>
      </c>
      <c r="G12" s="53">
        <f>$C$5/($C$10*$C$16*COS(RADIANS($K$5)))</f>
        <v>0.31005890174502254</v>
      </c>
      <c r="I12" s="2" t="s">
        <v>41</v>
      </c>
      <c r="J12" s="14" t="s">
        <v>115</v>
      </c>
      <c r="N12" s="1" t="s">
        <v>40</v>
      </c>
      <c r="R12" s="2" t="s">
        <v>91</v>
      </c>
      <c r="T12" s="53">
        <f>$P$5/($P$10*$P$16*COS(RADIANS($X$5)))</f>
        <v>0.31016423238662805</v>
      </c>
      <c r="V12" s="2" t="s">
        <v>41</v>
      </c>
      <c r="W12" s="14" t="s">
        <v>116</v>
      </c>
    </row>
    <row r="13" spans="1:26" ht="12.75" customHeight="1" x14ac:dyDescent="0.2">
      <c r="A13" s="2" t="s">
        <v>113</v>
      </c>
      <c r="C13" s="15">
        <v>0.8</v>
      </c>
      <c r="D13" s="2" t="s">
        <v>104</v>
      </c>
      <c r="E13" s="2" t="s">
        <v>92</v>
      </c>
      <c r="G13" s="6">
        <v>1</v>
      </c>
      <c r="I13" s="2" t="s">
        <v>39</v>
      </c>
      <c r="J13" s="14" t="s">
        <v>109</v>
      </c>
      <c r="N13" s="2" t="s">
        <v>113</v>
      </c>
      <c r="P13" s="8">
        <f>$C13</f>
        <v>0.8</v>
      </c>
      <c r="Q13" s="2" t="s">
        <v>104</v>
      </c>
      <c r="R13" s="2" t="s">
        <v>92</v>
      </c>
      <c r="T13" s="6">
        <f>$G13</f>
        <v>1</v>
      </c>
      <c r="V13" s="2" t="s">
        <v>39</v>
      </c>
      <c r="W13" s="14" t="s">
        <v>109</v>
      </c>
    </row>
    <row r="14" spans="1:26" ht="12.75" customHeight="1" x14ac:dyDescent="0.2">
      <c r="A14" s="2" t="s">
        <v>114</v>
      </c>
      <c r="C14" s="15">
        <v>0.75</v>
      </c>
      <c r="D14" s="2" t="s">
        <v>105</v>
      </c>
      <c r="E14" s="2" t="s">
        <v>93</v>
      </c>
      <c r="G14" s="53">
        <f>IF(G12*G13&gt;G11,G11,G12*G13)</f>
        <v>0.31005890174502254</v>
      </c>
      <c r="I14" s="2" t="s">
        <v>43</v>
      </c>
      <c r="J14" s="14" t="s">
        <v>110</v>
      </c>
      <c r="N14" s="2" t="s">
        <v>114</v>
      </c>
      <c r="P14" s="8">
        <f>$C14</f>
        <v>0.75</v>
      </c>
      <c r="Q14" s="2" t="s">
        <v>105</v>
      </c>
      <c r="R14" s="2" t="s">
        <v>93</v>
      </c>
      <c r="T14" s="53">
        <f>IF(T12*T13&gt;T11,T11,T12*T13)</f>
        <v>0.31016423238662805</v>
      </c>
      <c r="V14" s="2" t="s">
        <v>43</v>
      </c>
      <c r="W14" s="14" t="s">
        <v>110</v>
      </c>
    </row>
    <row r="15" spans="1:26" ht="12.75" customHeight="1" x14ac:dyDescent="0.2">
      <c r="A15" s="2" t="s">
        <v>112</v>
      </c>
      <c r="C15" s="7">
        <v>37</v>
      </c>
      <c r="D15" s="2" t="s">
        <v>44</v>
      </c>
      <c r="E15" s="2" t="s">
        <v>48</v>
      </c>
      <c r="G15" s="7">
        <v>1490</v>
      </c>
      <c r="H15" s="2" t="s">
        <v>94</v>
      </c>
      <c r="I15" s="2" t="s">
        <v>42</v>
      </c>
      <c r="J15" s="14" t="s">
        <v>111</v>
      </c>
      <c r="N15" s="2" t="s">
        <v>112</v>
      </c>
      <c r="P15" s="8">
        <f>CONVERT($C15,"ft","m")</f>
        <v>11.2776</v>
      </c>
      <c r="Q15" s="2" t="s">
        <v>46</v>
      </c>
      <c r="R15" s="2" t="s">
        <v>77</v>
      </c>
      <c r="T15" s="7">
        <f>$G15*745.7/1000</f>
        <v>1111.0930000000001</v>
      </c>
      <c r="U15" s="2" t="s">
        <v>51</v>
      </c>
      <c r="V15" s="2" t="s">
        <v>42</v>
      </c>
      <c r="W15" s="14" t="s">
        <v>111</v>
      </c>
    </row>
    <row r="16" spans="1:26" ht="12.75" customHeight="1" x14ac:dyDescent="0.2">
      <c r="A16" s="2" t="s">
        <v>108</v>
      </c>
      <c r="C16" s="7">
        <v>233</v>
      </c>
      <c r="D16" s="2" t="s">
        <v>47</v>
      </c>
      <c r="E16" s="2" t="s">
        <v>52</v>
      </c>
      <c r="G16" s="16">
        <f>-($C$27+$C$28) / (550*$C$13/$C$8)</f>
        <v>721.37447224381845</v>
      </c>
      <c r="H16" s="2" t="s">
        <v>94</v>
      </c>
      <c r="I16" s="2" t="s">
        <v>49</v>
      </c>
      <c r="J16" s="14" t="s">
        <v>118</v>
      </c>
      <c r="N16" s="2" t="s">
        <v>108</v>
      </c>
      <c r="P16" s="8">
        <f>CONVERT($C16,"ft2","m2")</f>
        <v>21.646408319999999</v>
      </c>
      <c r="Q16" s="2" t="s">
        <v>50</v>
      </c>
      <c r="R16" s="2" t="s">
        <v>76</v>
      </c>
      <c r="T16" s="16">
        <f>-($P$27+$P$28)/(1000*$P$13/$P$8)</f>
        <v>537.85615466161551</v>
      </c>
      <c r="U16" s="2" t="s">
        <v>51</v>
      </c>
      <c r="V16" s="2" t="s">
        <v>49</v>
      </c>
      <c r="W16" s="14" t="s">
        <v>118</v>
      </c>
    </row>
    <row r="17" spans="1:26" ht="12.75" customHeight="1" x14ac:dyDescent="0.2">
      <c r="A17" s="2" t="s">
        <v>107</v>
      </c>
      <c r="C17" s="15">
        <f>C15^2/C16</f>
        <v>5.8755364806866952</v>
      </c>
      <c r="E17" s="2" t="s">
        <v>54</v>
      </c>
      <c r="G17" s="6">
        <v>1</v>
      </c>
      <c r="I17" s="2" t="s">
        <v>103</v>
      </c>
      <c r="J17" s="14" t="s">
        <v>117</v>
      </c>
      <c r="N17" s="2" t="s">
        <v>107</v>
      </c>
      <c r="P17" s="15">
        <f>P15^2/P16</f>
        <v>5.8755364806866952</v>
      </c>
      <c r="R17" s="2" t="s">
        <v>75</v>
      </c>
      <c r="T17" s="6">
        <f>$G17</f>
        <v>1</v>
      </c>
      <c r="V17" s="2" t="s">
        <v>103</v>
      </c>
      <c r="W17" s="14" t="s">
        <v>117</v>
      </c>
    </row>
    <row r="18" spans="1:26" ht="12.75" customHeight="1" x14ac:dyDescent="0.2">
      <c r="A18" s="2" t="s">
        <v>53</v>
      </c>
      <c r="C18" s="9">
        <v>1.6299999999999999E-2</v>
      </c>
      <c r="E18" s="2" t="s">
        <v>55</v>
      </c>
      <c r="G18" s="7">
        <f>IF(G16*G17&gt;G15,G15,G16*G17)</f>
        <v>721.37447224381845</v>
      </c>
      <c r="H18" s="2" t="s">
        <v>94</v>
      </c>
      <c r="N18" s="2" t="s">
        <v>53</v>
      </c>
      <c r="P18" s="28">
        <f>$C18</f>
        <v>1.6299999999999999E-2</v>
      </c>
      <c r="R18" s="2" t="s">
        <v>74</v>
      </c>
      <c r="T18" s="7">
        <f>IF(T16*T17&gt;T15,T15,T16*T17)</f>
        <v>537.85615466161551</v>
      </c>
      <c r="U18" s="2" t="s">
        <v>51</v>
      </c>
    </row>
    <row r="19" spans="1:26" ht="12.75" customHeight="1" x14ac:dyDescent="0.2">
      <c r="E19" s="2" t="s">
        <v>89</v>
      </c>
      <c r="G19" s="28">
        <f>G18/G15</f>
        <v>0.48414394110323383</v>
      </c>
      <c r="R19" s="2" t="s">
        <v>89</v>
      </c>
      <c r="T19" s="28">
        <f>T18/T15</f>
        <v>0.48407842967385761</v>
      </c>
    </row>
    <row r="21" spans="1:26" ht="12.75" customHeight="1" x14ac:dyDescent="0.2">
      <c r="A21" s="1" t="s">
        <v>57</v>
      </c>
      <c r="I21" s="17" t="s">
        <v>56</v>
      </c>
      <c r="N21" s="1" t="s">
        <v>57</v>
      </c>
      <c r="V21" s="17" t="s">
        <v>56</v>
      </c>
    </row>
    <row r="22" spans="1:26" ht="12.75" customHeight="1" x14ac:dyDescent="0.2">
      <c r="B22" s="18" t="s">
        <v>101</v>
      </c>
      <c r="C22" s="18" t="s">
        <v>58</v>
      </c>
      <c r="D22" s="18" t="s">
        <v>59</v>
      </c>
      <c r="E22" s="18" t="s">
        <v>59</v>
      </c>
      <c r="F22" s="18" t="s">
        <v>24</v>
      </c>
      <c r="H22" s="18" t="s">
        <v>60</v>
      </c>
      <c r="I22" s="18" t="s">
        <v>61</v>
      </c>
      <c r="J22" s="19" t="s">
        <v>62</v>
      </c>
      <c r="K22" s="20" t="s">
        <v>63</v>
      </c>
      <c r="O22" s="18" t="s">
        <v>101</v>
      </c>
      <c r="P22" s="18" t="s">
        <v>58</v>
      </c>
      <c r="Q22" s="18" t="s">
        <v>59</v>
      </c>
      <c r="R22" s="18" t="s">
        <v>59</v>
      </c>
      <c r="S22" s="18" t="s">
        <v>24</v>
      </c>
      <c r="U22" s="18" t="s">
        <v>60</v>
      </c>
      <c r="V22" s="18" t="s">
        <v>61</v>
      </c>
      <c r="W22" s="19" t="s">
        <v>62</v>
      </c>
      <c r="X22" s="20" t="s">
        <v>63</v>
      </c>
      <c r="Z22" s="20" t="s">
        <v>63</v>
      </c>
    </row>
    <row r="23" spans="1:26" ht="12.75" customHeight="1" x14ac:dyDescent="0.2">
      <c r="C23" s="17" t="s">
        <v>8</v>
      </c>
      <c r="D23" s="17" t="s">
        <v>10</v>
      </c>
      <c r="E23" s="17" t="s">
        <v>64</v>
      </c>
      <c r="P23" s="17" t="s">
        <v>14</v>
      </c>
      <c r="Q23" s="17" t="s">
        <v>15</v>
      </c>
      <c r="R23" s="17" t="s">
        <v>65</v>
      </c>
    </row>
    <row r="24" spans="1:26" ht="12.75" customHeight="1" x14ac:dyDescent="0.2">
      <c r="A24" s="2" t="s">
        <v>39</v>
      </c>
      <c r="B24" s="28">
        <f>G14</f>
        <v>0.31005890174502254</v>
      </c>
      <c r="C24" s="13">
        <f>$C$10*$C$16*B24</f>
        <v>11547.005383792515</v>
      </c>
      <c r="D24" s="8">
        <f>C24/$C$6</f>
        <v>37.151335121814036</v>
      </c>
      <c r="E24" s="22">
        <f>D24*$G$8^2</f>
        <v>0.37151335121814044</v>
      </c>
      <c r="H24" s="23">
        <f>-E24*COS(RADIANS(K5))*SIN(RADIANS(K6))</f>
        <v>0</v>
      </c>
      <c r="I24" s="23">
        <f>E24*COS(RADIANS(K5))*COS(RADIANS(K6))</f>
        <v>0.32174000000000008</v>
      </c>
      <c r="J24" s="23">
        <f>E24*SIN(RADIANS(K5))</f>
        <v>0.18575667560907019</v>
      </c>
      <c r="K24" s="23">
        <f>SQRT(H24^2+I24^2+J24^2)</f>
        <v>0.3715133512181405</v>
      </c>
      <c r="N24" s="2" t="s">
        <v>39</v>
      </c>
      <c r="O24" s="28">
        <f>T14</f>
        <v>0.31016423238662805</v>
      </c>
      <c r="P24" s="13">
        <f>$P$10*$P$16*O24</f>
        <v>51363.716456808594</v>
      </c>
      <c r="Q24" s="8">
        <f>P24/P6</f>
        <v>11.323744034696889</v>
      </c>
      <c r="R24" s="22">
        <f>Q24*T8^2</f>
        <v>0.11323744034696891</v>
      </c>
      <c r="U24" s="23">
        <f>-R24*COS(RADIANS(X5))*SIN(RADIANS(X6))</f>
        <v>0</v>
      </c>
      <c r="V24" s="23">
        <f>R24*COS(RADIANS(X5))*COS(RADIANS(X6))</f>
        <v>9.8066500000000043E-2</v>
      </c>
      <c r="W24" s="23">
        <f>R24*SIN(RADIANS(X5))</f>
        <v>5.6618720173484446E-2</v>
      </c>
      <c r="X24" s="23">
        <f>SQRT(U24^2+V24^2+W24^2)</f>
        <v>0.11323744034696892</v>
      </c>
      <c r="Z24" s="42">
        <f>CONVERT(C24,"lbf","N")-P24</f>
        <v>-7.7517093362985179E-2</v>
      </c>
    </row>
    <row r="25" spans="1:26" ht="12.75" customHeight="1" x14ac:dyDescent="0.2">
      <c r="A25" s="2" t="s">
        <v>66</v>
      </c>
      <c r="F25" s="24">
        <f>$C$9</f>
        <v>36.666666666666671</v>
      </c>
      <c r="N25" s="2" t="s">
        <v>66</v>
      </c>
      <c r="S25" s="24">
        <f>P9</f>
        <v>11.176000000000002</v>
      </c>
    </row>
    <row r="26" spans="1:26" ht="12.75" customHeight="1" x14ac:dyDescent="0.2">
      <c r="A26" s="2" t="s">
        <v>41</v>
      </c>
      <c r="C26" s="13">
        <f>$G$18*550*$C$13/$C$8</f>
        <v>865.64936669258213</v>
      </c>
      <c r="J26" s="23"/>
      <c r="N26" s="2" t="s">
        <v>41</v>
      </c>
      <c r="P26" s="13">
        <f>$T$18*1000*$P$13/$P$8</f>
        <v>3850.0798472556585</v>
      </c>
      <c r="W26" s="23"/>
      <c r="Z26" s="42">
        <f t="shared" ref="Z26:Z29" si="0">CONVERT(C26,"lbf","N")-P26</f>
        <v>0.52037690284805649</v>
      </c>
    </row>
    <row r="27" spans="1:26" ht="12.75" customHeight="1" x14ac:dyDescent="0.2">
      <c r="A27" s="2" t="s">
        <v>43</v>
      </c>
      <c r="B27" s="28">
        <f>G14^2/(PI()*C14*C17)</f>
        <v>6.9443203247924598E-3</v>
      </c>
      <c r="C27" s="13">
        <f>-$C$10*$C$16*B27</f>
        <v>-258.61571374299552</v>
      </c>
      <c r="N27" s="2" t="s">
        <v>43</v>
      </c>
      <c r="O27" s="28">
        <f>T14^2/(PI()*P14*P17)</f>
        <v>6.9490392601445896E-3</v>
      </c>
      <c r="P27" s="13">
        <f>-$P$10*$P$16*O27</f>
        <v>-1150.7725422071774</v>
      </c>
      <c r="Z27" s="42">
        <f>CONVERT(C27,"lbf","N")-P27</f>
        <v>0.39253428956271819</v>
      </c>
    </row>
    <row r="28" spans="1:26" ht="12.75" customHeight="1" x14ac:dyDescent="0.2">
      <c r="A28" s="2" t="s">
        <v>42</v>
      </c>
      <c r="B28" s="28">
        <f>C18</f>
        <v>1.6299999999999999E-2</v>
      </c>
      <c r="C28" s="13">
        <f>-$C$10*$C$16*B28</f>
        <v>-607.03365294958655</v>
      </c>
      <c r="N28" s="2" t="s">
        <v>42</v>
      </c>
      <c r="O28" s="28">
        <f>P18</f>
        <v>1.6299999999999999E-2</v>
      </c>
      <c r="P28" s="13">
        <f>-$P$10*$P$16*O28</f>
        <v>-2699.3073050484818</v>
      </c>
      <c r="Z28" s="42">
        <f t="shared" si="0"/>
        <v>-0.91291119240986518</v>
      </c>
    </row>
    <row r="29" spans="1:26" ht="12.75" customHeight="1" x14ac:dyDescent="0.2">
      <c r="A29" s="2" t="s">
        <v>102</v>
      </c>
      <c r="C29" s="25">
        <f>SUM(C26:C28)</f>
        <v>0</v>
      </c>
      <c r="D29" s="8">
        <f>C29/$C$6</f>
        <v>0</v>
      </c>
      <c r="E29" s="22">
        <f>D29*$G$8^2</f>
        <v>0</v>
      </c>
      <c r="F29" s="24">
        <f>E29</f>
        <v>0</v>
      </c>
      <c r="N29" s="2" t="s">
        <v>41</v>
      </c>
      <c r="P29" s="25">
        <f>SUM(P26:P28)</f>
        <v>0</v>
      </c>
      <c r="Q29" s="8">
        <f>P29/P6</f>
        <v>0</v>
      </c>
      <c r="R29" s="22">
        <f>Q29*T8^2</f>
        <v>0</v>
      </c>
      <c r="S29" s="24">
        <f>R29</f>
        <v>0</v>
      </c>
      <c r="Z29" s="42">
        <f t="shared" si="0"/>
        <v>0</v>
      </c>
    </row>
    <row r="30" spans="1:26" ht="12.75" customHeight="1" x14ac:dyDescent="0.2">
      <c r="A30" s="2" t="s">
        <v>67</v>
      </c>
      <c r="E30" s="24">
        <f>E29+F25</f>
        <v>36.666666666666671</v>
      </c>
      <c r="F30" s="24">
        <f>F25+F29</f>
        <v>36.666666666666671</v>
      </c>
      <c r="H30" s="26">
        <f>E30*COS(RADIANS(K6))</f>
        <v>36.666666666666671</v>
      </c>
      <c r="I30" s="26">
        <f>E30*SIN(RADIANS(K6))</f>
        <v>0</v>
      </c>
      <c r="K30" s="26">
        <f>SQRT(H30^2+I30^2+J30^2)</f>
        <v>36.666666666666671</v>
      </c>
      <c r="N30" s="2" t="s">
        <v>67</v>
      </c>
      <c r="R30" s="24">
        <f>R29+S25</f>
        <v>11.176000000000002</v>
      </c>
      <c r="S30" s="24">
        <f>S25+S29</f>
        <v>11.176000000000002</v>
      </c>
      <c r="U30" s="26">
        <f>R30*COS(RADIANS(X6))</f>
        <v>11.176000000000002</v>
      </c>
      <c r="V30" s="26">
        <f>R30*SIN(RADIANS(X6))</f>
        <v>0</v>
      </c>
      <c r="X30" s="26">
        <f>SQRT(U30^2+V30^2+W30^2)</f>
        <v>11.176000000000002</v>
      </c>
    </row>
    <row r="31" spans="1:26" ht="12.75" customHeight="1" x14ac:dyDescent="0.2">
      <c r="A31" s="2" t="s">
        <v>68</v>
      </c>
      <c r="B31" s="21"/>
      <c r="C31" s="21"/>
      <c r="D31" s="8">
        <f>$G$5</f>
        <v>32.173999999999999</v>
      </c>
      <c r="E31" s="22">
        <f>D31*$G$8^2</f>
        <v>0.32174000000000008</v>
      </c>
      <c r="F31" s="26">
        <f>-E31*SIN(RADIANS(K6))</f>
        <v>0</v>
      </c>
      <c r="H31" s="23"/>
      <c r="I31" s="23">
        <f>-E31</f>
        <v>-0.32174000000000008</v>
      </c>
      <c r="K31" s="23">
        <f>-SQRT(H31^2+I31^2+J31^2)</f>
        <v>-0.32174000000000008</v>
      </c>
      <c r="N31" s="2" t="s">
        <v>68</v>
      </c>
      <c r="O31" s="21"/>
      <c r="P31" s="21"/>
      <c r="Q31" s="8">
        <f>T5</f>
        <v>9.8066499999999994</v>
      </c>
      <c r="R31" s="22">
        <f>Q31*T8^2</f>
        <v>9.8066500000000015E-2</v>
      </c>
      <c r="S31" s="26">
        <f>-R31*SIN(RADIANS(X6))</f>
        <v>0</v>
      </c>
      <c r="U31" s="23"/>
      <c r="V31" s="23">
        <f>-R31</f>
        <v>-9.8066500000000015E-2</v>
      </c>
      <c r="X31" s="23">
        <f>-SQRT(U31^2+V31^2+W31^2)</f>
        <v>-9.8066500000000015E-2</v>
      </c>
    </row>
    <row r="32" spans="1:26" ht="12.75" customHeight="1" x14ac:dyDescent="0.2">
      <c r="A32" s="1" t="s">
        <v>69</v>
      </c>
      <c r="B32" s="21"/>
      <c r="D32" s="21"/>
      <c r="E32" s="21"/>
      <c r="F32" s="27">
        <f>SUM(F30:F31)</f>
        <v>36.666666666666671</v>
      </c>
      <c r="H32" s="8">
        <f>SUM(H24:H31)</f>
        <v>36.666666666666671</v>
      </c>
      <c r="I32" s="8">
        <f>SUM(I24:I31)</f>
        <v>0</v>
      </c>
      <c r="J32" s="28">
        <f>SUM(J24:J31)</f>
        <v>0.18575667560907019</v>
      </c>
      <c r="N32" s="1" t="s">
        <v>69</v>
      </c>
      <c r="O32" s="21"/>
      <c r="Q32" s="21"/>
      <c r="R32" s="21"/>
      <c r="S32" s="27">
        <f>SUM(S30:S31)</f>
        <v>11.176000000000002</v>
      </c>
      <c r="U32" s="8">
        <f>SUM(U24:U31)</f>
        <v>11.176000000000002</v>
      </c>
      <c r="V32" s="8">
        <f>SUM(V24:V31)</f>
        <v>0</v>
      </c>
      <c r="W32" s="28">
        <f>SUM(W24:W31)</f>
        <v>5.6618720173484446E-2</v>
      </c>
    </row>
    <row r="33" spans="1:25" ht="12.75" customHeight="1" x14ac:dyDescent="0.2">
      <c r="A33" s="1" t="s">
        <v>70</v>
      </c>
      <c r="I33" s="27">
        <f>DEGREES(ATAN(I32/H32))</f>
        <v>0</v>
      </c>
      <c r="J33" s="24">
        <f>MOD(DEGREES(ATAN(J32/H32)),360)</f>
        <v>0.29026315848263673</v>
      </c>
      <c r="N33" s="1" t="s">
        <v>70</v>
      </c>
      <c r="V33" s="27">
        <f>DEGREES(ATAN(V32/U32))</f>
        <v>0</v>
      </c>
      <c r="W33" s="24">
        <f>MOD(DEGREES(ATAN(W32/U32)),360)</f>
        <v>0.29026359653515493</v>
      </c>
    </row>
    <row r="34" spans="1:25" ht="12.75" customHeight="1" x14ac:dyDescent="0.2">
      <c r="A34" s="2" t="s">
        <v>71</v>
      </c>
      <c r="J34" s="28">
        <f>J33/G8</f>
        <v>2.9026315848263673</v>
      </c>
      <c r="N34" s="2" t="s">
        <v>71</v>
      </c>
      <c r="W34" s="28">
        <f>W33/T8</f>
        <v>2.902635965351549</v>
      </c>
    </row>
    <row r="35" spans="1:25" ht="12.75" customHeight="1" x14ac:dyDescent="0.2">
      <c r="A35" s="2" t="s">
        <v>72</v>
      </c>
      <c r="C35" s="2" t="s">
        <v>73</v>
      </c>
      <c r="J35" s="28">
        <f>DEGREES(TAN(RADIANS(K5)))*G5/C8</f>
        <v>2.9026564169401206</v>
      </c>
      <c r="N35" s="2" t="s">
        <v>72</v>
      </c>
      <c r="P35" s="2" t="s">
        <v>73</v>
      </c>
      <c r="W35" s="28">
        <f>DEGREES(TAN(RADIANS($X$5)))*$T$5/$P$8</f>
        <v>2.9026607975777288</v>
      </c>
    </row>
    <row r="38" spans="1:25" ht="12.75" customHeight="1" x14ac:dyDescent="0.2">
      <c r="A38" s="2" t="s">
        <v>88</v>
      </c>
      <c r="C38" s="7">
        <v>5000</v>
      </c>
      <c r="N38" s="2" t="s">
        <v>88</v>
      </c>
      <c r="P38" s="7">
        <f>CONVERT($C38,"ft","m")</f>
        <v>1524</v>
      </c>
      <c r="Q38" s="2" t="s">
        <v>46</v>
      </c>
      <c r="R38" s="56" t="s">
        <v>98</v>
      </c>
      <c r="S38" s="57"/>
      <c r="T38" s="57"/>
      <c r="U38" s="57"/>
      <c r="V38" s="57"/>
      <c r="W38" s="57"/>
      <c r="X38" s="57"/>
      <c r="Y38" s="58"/>
    </row>
    <row r="39" spans="1:25" ht="12.75" customHeight="1" x14ac:dyDescent="0.2">
      <c r="A39" s="2" t="s">
        <v>87</v>
      </c>
      <c r="C39" s="15">
        <v>5.33</v>
      </c>
      <c r="D39" s="2" t="s">
        <v>44</v>
      </c>
      <c r="N39" s="2" t="s">
        <v>87</v>
      </c>
      <c r="P39" s="15">
        <f>CONVERT($C39,"ft","m")</f>
        <v>1.624584</v>
      </c>
      <c r="Q39" s="2" t="s">
        <v>46</v>
      </c>
      <c r="R39" s="59"/>
      <c r="S39" s="60"/>
      <c r="T39" s="60"/>
      <c r="U39" s="60"/>
      <c r="V39" s="60"/>
      <c r="W39" s="60"/>
      <c r="X39" s="60"/>
      <c r="Y39" s="61"/>
    </row>
  </sheetData>
  <mergeCells count="3">
    <mergeCell ref="I2:J2"/>
    <mergeCell ref="V2:W2"/>
    <mergeCell ref="R38:Y3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F29" sqref="F29"/>
    </sheetView>
  </sheetViews>
  <sheetFormatPr defaultColWidth="6.7109375" defaultRowHeight="12.75" x14ac:dyDescent="0.2"/>
  <cols>
    <col min="1" max="2" width="6.7109375" style="30"/>
    <col min="3" max="3" width="6.7109375" style="30" customWidth="1"/>
    <col min="4" max="7" width="6.7109375" style="30"/>
    <col min="8" max="8" width="6.7109375" style="30" customWidth="1"/>
    <col min="9" max="16384" width="6.7109375" style="30"/>
  </cols>
  <sheetData>
    <row r="1" spans="1:24" x14ac:dyDescent="0.2">
      <c r="A1" s="29" t="s">
        <v>78</v>
      </c>
    </row>
    <row r="4" spans="1:24" x14ac:dyDescent="0.2">
      <c r="A4" s="62" t="s">
        <v>24</v>
      </c>
      <c r="B4" s="63"/>
      <c r="C4" s="52" t="s">
        <v>79</v>
      </c>
      <c r="D4" s="52" t="s">
        <v>45</v>
      </c>
      <c r="E4" s="49"/>
      <c r="F4" s="50" t="s">
        <v>39</v>
      </c>
      <c r="G4" s="51"/>
      <c r="H4" s="52" t="s">
        <v>41</v>
      </c>
      <c r="I4" s="52" t="s">
        <v>43</v>
      </c>
      <c r="J4" s="52" t="s">
        <v>42</v>
      </c>
      <c r="K4" s="52" t="s">
        <v>85</v>
      </c>
      <c r="L4" s="52" t="s">
        <v>84</v>
      </c>
      <c r="N4" s="29" t="s">
        <v>97</v>
      </c>
    </row>
    <row r="5" spans="1:24" x14ac:dyDescent="0.2">
      <c r="A5" s="52" t="s">
        <v>80</v>
      </c>
      <c r="B5" s="52" t="s">
        <v>81</v>
      </c>
      <c r="C5" s="48"/>
      <c r="D5" s="48"/>
      <c r="E5" s="52" t="s">
        <v>8</v>
      </c>
      <c r="F5" s="52" t="s">
        <v>82</v>
      </c>
      <c r="G5" s="52" t="s">
        <v>83</v>
      </c>
      <c r="H5" s="52" t="s">
        <v>8</v>
      </c>
      <c r="I5" s="52" t="s">
        <v>8</v>
      </c>
      <c r="J5" s="52" t="s">
        <v>8</v>
      </c>
      <c r="K5" s="52" t="s">
        <v>86</v>
      </c>
      <c r="L5" s="52" t="s">
        <v>8</v>
      </c>
    </row>
    <row r="6" spans="1:24" x14ac:dyDescent="0.2">
      <c r="A6" s="30">
        <v>100</v>
      </c>
      <c r="B6" s="30">
        <f t="shared" ref="B6:B20" si="0">A6*5280/3600</f>
        <v>146.66666666666666</v>
      </c>
      <c r="C6" s="12">
        <f>0.5* Units!$G$7 * B6^2</f>
        <v>25.573444396096225</v>
      </c>
      <c r="D6" s="40">
        <f>IF(Units!$C$5/(C6*Units!$C$16)&gt;Units!$G$11,Units!$G$11,Units!$C$5/(C6*Units!$C$16))</f>
        <v>1.32</v>
      </c>
      <c r="E6" s="30">
        <f>C6*D6*Units!$C$16</f>
        <v>7865.3685584633549</v>
      </c>
      <c r="F6" s="8">
        <f>E6/Units!$C$6</f>
        <v>25.306036799999998</v>
      </c>
      <c r="G6" s="41">
        <f>F6-Units!$G$5</f>
        <v>-6.8679632000000019</v>
      </c>
      <c r="H6" s="30">
        <f>550*Units!$G$15*Units!$C$13/B6</f>
        <v>4470</v>
      </c>
      <c r="I6" s="30">
        <f>(E6^2)/(C6*Units!$C$15^2*Units!$C$14*PI())</f>
        <v>749.9535163822103</v>
      </c>
      <c r="J6" s="30">
        <f>C6*Units!$C$18*Units!$C$16</f>
        <v>97.125384471933842</v>
      </c>
      <c r="K6" s="30">
        <f>I6+J6</f>
        <v>847.07890085414419</v>
      </c>
      <c r="L6" s="30">
        <f>H6-K6</f>
        <v>3622.9210991458558</v>
      </c>
      <c r="N6" s="31"/>
      <c r="O6" s="32"/>
      <c r="P6" s="32"/>
      <c r="Q6" s="32"/>
      <c r="R6" s="32"/>
      <c r="S6" s="32"/>
      <c r="T6" s="32"/>
      <c r="U6" s="32"/>
      <c r="V6" s="32"/>
      <c r="W6" s="32"/>
      <c r="X6" s="33"/>
    </row>
    <row r="7" spans="1:24" x14ac:dyDescent="0.2">
      <c r="A7" s="30">
        <f>A6+25</f>
        <v>125</v>
      </c>
      <c r="B7" s="30">
        <f t="shared" si="0"/>
        <v>183.33333333333334</v>
      </c>
      <c r="C7" s="12">
        <f>0.5* Units!$G$7 * B7^2</f>
        <v>39.958506868900358</v>
      </c>
      <c r="D7" s="40">
        <f>IF(Units!$C$5/(C7*Units!$C$16)&gt;Units!$G$11,Units!$G$11,Units!$C$5/(C7*Units!$C$16))</f>
        <v>1.074075542322771</v>
      </c>
      <c r="E7" s="30">
        <f>C7*D7*Units!$C$16</f>
        <v>10000</v>
      </c>
      <c r="F7" s="8">
        <f>E7/Units!$C$6</f>
        <v>32.173999999999999</v>
      </c>
      <c r="G7" s="41">
        <f>F7-Units!$G$5</f>
        <v>0</v>
      </c>
      <c r="H7" s="30">
        <f>550*Units!$G$15*Units!$C$13/B7</f>
        <v>3576</v>
      </c>
      <c r="I7" s="30">
        <f>(E7^2)/(C7*Units!$C$15^2*Units!$C$14*PI())</f>
        <v>775.8471412289864</v>
      </c>
      <c r="J7" s="30">
        <f>C7*Units!$C$18*Units!$C$16</f>
        <v>151.75841323739667</v>
      </c>
      <c r="K7" s="30">
        <f t="shared" ref="K7:K20" si="1">I7+J7</f>
        <v>927.60555446638307</v>
      </c>
      <c r="L7" s="30">
        <f t="shared" ref="L7:L20" si="2">H7-K7</f>
        <v>2648.3944455336168</v>
      </c>
      <c r="N7" s="34"/>
      <c r="O7" s="35"/>
      <c r="P7" s="35"/>
      <c r="Q7" s="35"/>
      <c r="R7" s="35"/>
      <c r="S7" s="35"/>
      <c r="T7" s="35"/>
      <c r="U7" s="35"/>
      <c r="V7" s="35"/>
      <c r="W7" s="35"/>
      <c r="X7" s="36"/>
    </row>
    <row r="8" spans="1:24" x14ac:dyDescent="0.2">
      <c r="A8" s="30">
        <f t="shared" ref="A8:A20" si="3">A7+25</f>
        <v>150</v>
      </c>
      <c r="B8" s="30">
        <f t="shared" si="0"/>
        <v>220</v>
      </c>
      <c r="C8" s="12">
        <f>0.5* Units!$G$7 * B8^2</f>
        <v>57.540249891216511</v>
      </c>
      <c r="D8" s="40">
        <f>IF(Units!$C$5/(C8*Units!$C$16)&gt;Units!$G$11,Units!$G$11,Units!$C$5/(C8*Units!$C$16))</f>
        <v>0.74588579327970206</v>
      </c>
      <c r="E8" s="30">
        <f>C8*D8*Units!$C$16</f>
        <v>10000</v>
      </c>
      <c r="F8" s="8">
        <f>E8/Units!$C$6</f>
        <v>32.173999999999999</v>
      </c>
      <c r="G8" s="41">
        <f>F8-Units!$G$5</f>
        <v>0</v>
      </c>
      <c r="H8" s="30">
        <f>550*Units!$G$15*Units!$C$13/B8</f>
        <v>2980</v>
      </c>
      <c r="I8" s="30">
        <f>(E8^2)/(C8*Units!$C$15^2*Units!$C$14*PI())</f>
        <v>538.78273696457393</v>
      </c>
      <c r="J8" s="30">
        <f>C8*Units!$C$18*Units!$C$16</f>
        <v>218.53211506185116</v>
      </c>
      <c r="K8" s="30">
        <f t="shared" si="1"/>
        <v>757.31485202642511</v>
      </c>
      <c r="L8" s="30">
        <f t="shared" si="2"/>
        <v>2222.6851479735751</v>
      </c>
      <c r="N8" s="34"/>
      <c r="O8" s="35"/>
      <c r="P8" s="35"/>
      <c r="Q8" s="35"/>
      <c r="R8" s="35"/>
      <c r="S8" s="35"/>
      <c r="T8" s="35"/>
      <c r="U8" s="35"/>
      <c r="V8" s="35"/>
      <c r="W8" s="35"/>
      <c r="X8" s="36"/>
    </row>
    <row r="9" spans="1:24" x14ac:dyDescent="0.2">
      <c r="A9" s="30">
        <f t="shared" si="3"/>
        <v>175</v>
      </c>
      <c r="B9" s="30">
        <f t="shared" si="0"/>
        <v>256.66666666666669</v>
      </c>
      <c r="C9" s="12">
        <f>0.5* Units!$G$7 * B9^2</f>
        <v>78.318673463044689</v>
      </c>
      <c r="D9" s="40">
        <f>IF(Units!$C$5/(C9*Units!$C$16)&gt;Units!$G$11,Units!$G$11,Units!$C$5/(C9*Units!$C$16))</f>
        <v>0.54799772567488314</v>
      </c>
      <c r="E9" s="30">
        <f>C9*D9*Units!$C$16</f>
        <v>10000</v>
      </c>
      <c r="F9" s="8">
        <f>E9/Units!$C$6</f>
        <v>32.173999999999999</v>
      </c>
      <c r="G9" s="41">
        <f>F9-Units!$G$5</f>
        <v>0</v>
      </c>
      <c r="H9" s="30">
        <f>550*Units!$G$15*Units!$C$13/B9</f>
        <v>2554.2857142857142</v>
      </c>
      <c r="I9" s="30">
        <f>(E9^2)/(C9*Units!$C$15^2*Units!$C$14*PI())</f>
        <v>395.84037817805438</v>
      </c>
      <c r="J9" s="30">
        <f>C9*Units!$C$18*Units!$C$16</f>
        <v>297.4464899452974</v>
      </c>
      <c r="K9" s="30">
        <f t="shared" si="1"/>
        <v>693.28686812335172</v>
      </c>
      <c r="L9" s="30">
        <f t="shared" si="2"/>
        <v>1860.9988461623625</v>
      </c>
      <c r="N9" s="34"/>
      <c r="O9" s="35"/>
      <c r="P9" s="35"/>
      <c r="Q9" s="35"/>
      <c r="R9" s="35"/>
      <c r="S9" s="35"/>
      <c r="T9" s="35"/>
      <c r="U9" s="35"/>
      <c r="V9" s="35"/>
      <c r="W9" s="35"/>
      <c r="X9" s="36"/>
    </row>
    <row r="10" spans="1:24" x14ac:dyDescent="0.2">
      <c r="A10" s="30">
        <f t="shared" si="3"/>
        <v>200</v>
      </c>
      <c r="B10" s="30">
        <f t="shared" si="0"/>
        <v>293.33333333333331</v>
      </c>
      <c r="C10" s="12">
        <f>0.5* Units!$G$7 * B10^2</f>
        <v>102.2937775843849</v>
      </c>
      <c r="D10" s="40">
        <f>IF(Units!$C$5/(C10*Units!$C$16)&gt;Units!$G$11,Units!$G$11,Units!$C$5/(C10*Units!$C$16))</f>
        <v>0.41956075871983245</v>
      </c>
      <c r="E10" s="30">
        <f>C10*D10*Units!$C$16</f>
        <v>10000</v>
      </c>
      <c r="F10" s="8">
        <f>E10/Units!$C$6</f>
        <v>32.173999999999999</v>
      </c>
      <c r="G10" s="41">
        <f>F10-Units!$G$5</f>
        <v>0</v>
      </c>
      <c r="H10" s="30">
        <f>550*Units!$G$15*Units!$C$13/B10</f>
        <v>2235</v>
      </c>
      <c r="I10" s="30">
        <f>(E10^2)/(C10*Units!$C$15^2*Units!$C$14*PI())</f>
        <v>303.06528954257288</v>
      </c>
      <c r="J10" s="30">
        <f>C10*Units!$C$18*Units!$C$16</f>
        <v>388.50153788773537</v>
      </c>
      <c r="K10" s="30">
        <f t="shared" si="1"/>
        <v>691.56682743030819</v>
      </c>
      <c r="L10" s="30">
        <f t="shared" si="2"/>
        <v>1543.4331725696918</v>
      </c>
      <c r="N10" s="34"/>
      <c r="O10" s="35"/>
      <c r="P10" s="35"/>
      <c r="Q10" s="35"/>
      <c r="R10" s="35"/>
      <c r="S10" s="35"/>
      <c r="T10" s="35"/>
      <c r="U10" s="35"/>
      <c r="V10" s="35"/>
      <c r="W10" s="35"/>
      <c r="X10" s="36"/>
    </row>
    <row r="11" spans="1:24" x14ac:dyDescent="0.2">
      <c r="A11" s="30">
        <f t="shared" si="3"/>
        <v>225</v>
      </c>
      <c r="B11" s="30">
        <f t="shared" si="0"/>
        <v>330</v>
      </c>
      <c r="C11" s="12">
        <f>0.5* Units!$G$7 * B11^2</f>
        <v>129.46556225523713</v>
      </c>
      <c r="D11" s="40">
        <f>IF(Units!$C$5/(C11*Units!$C$16)&gt;Units!$G$11,Units!$G$11,Units!$C$5/(C11*Units!$C$16))</f>
        <v>0.33150479701320096</v>
      </c>
      <c r="E11" s="30">
        <f>C11*D11*Units!$C$16</f>
        <v>10000</v>
      </c>
      <c r="F11" s="8">
        <f>E11/Units!$C$6</f>
        <v>32.173999999999999</v>
      </c>
      <c r="G11" s="41">
        <f>F11-Units!$G$5</f>
        <v>0</v>
      </c>
      <c r="H11" s="30">
        <f>550*Units!$G$15*Units!$C$13/B11</f>
        <v>1986.6666666666667</v>
      </c>
      <c r="I11" s="30">
        <f>(E11^2)/(C11*Units!$C$15^2*Units!$C$14*PI())</f>
        <v>239.45899420647737</v>
      </c>
      <c r="J11" s="30">
        <f>C11*Units!$C$18*Units!$C$16</f>
        <v>491.69725888916508</v>
      </c>
      <c r="K11" s="30">
        <f t="shared" si="1"/>
        <v>731.15625309564246</v>
      </c>
      <c r="L11" s="30">
        <f t="shared" si="2"/>
        <v>1255.5104135710244</v>
      </c>
      <c r="N11" s="34"/>
      <c r="O11" s="35"/>
      <c r="P11" s="35"/>
      <c r="Q11" s="35"/>
      <c r="R11" s="35"/>
      <c r="S11" s="35"/>
      <c r="T11" s="35"/>
      <c r="U11" s="35"/>
      <c r="V11" s="35"/>
      <c r="W11" s="35"/>
      <c r="X11" s="36"/>
    </row>
    <row r="12" spans="1:24" x14ac:dyDescent="0.2">
      <c r="A12" s="30">
        <f t="shared" si="3"/>
        <v>250</v>
      </c>
      <c r="B12" s="30">
        <f t="shared" si="0"/>
        <v>366.66666666666669</v>
      </c>
      <c r="C12" s="12">
        <f>0.5* Units!$G$7 * B12^2</f>
        <v>159.83402747560143</v>
      </c>
      <c r="D12" s="40">
        <f>IF(Units!$C$5/(C12*Units!$C$16)&gt;Units!$G$11,Units!$G$11,Units!$C$5/(C12*Units!$C$16))</f>
        <v>0.26851888558069276</v>
      </c>
      <c r="E12" s="30">
        <f>C12*D12*Units!$C$16</f>
        <v>10000</v>
      </c>
      <c r="F12" s="8">
        <f>E12/Units!$C$6</f>
        <v>32.173999999999999</v>
      </c>
      <c r="G12" s="41">
        <f>F12-Units!$G$5</f>
        <v>0</v>
      </c>
      <c r="H12" s="30">
        <f>550*Units!$G$15*Units!$C$13/B12</f>
        <v>1788</v>
      </c>
      <c r="I12" s="30">
        <f>(E12^2)/(C12*Units!$C$15^2*Units!$C$14*PI())</f>
        <v>193.9617853072466</v>
      </c>
      <c r="J12" s="30">
        <f>C12*Units!$C$18*Units!$C$16</f>
        <v>607.03365294958667</v>
      </c>
      <c r="K12" s="30">
        <f t="shared" si="1"/>
        <v>800.99543825683327</v>
      </c>
      <c r="L12" s="30">
        <f t="shared" si="2"/>
        <v>987.00456174316673</v>
      </c>
      <c r="N12" s="34"/>
      <c r="O12" s="35"/>
      <c r="P12" s="35"/>
      <c r="Q12" s="35"/>
      <c r="R12" s="35"/>
      <c r="S12" s="35"/>
      <c r="T12" s="35"/>
      <c r="U12" s="35"/>
      <c r="V12" s="35"/>
      <c r="W12" s="35"/>
      <c r="X12" s="36"/>
    </row>
    <row r="13" spans="1:24" x14ac:dyDescent="0.2">
      <c r="A13" s="30">
        <f t="shared" si="3"/>
        <v>275</v>
      </c>
      <c r="B13" s="30">
        <f t="shared" si="0"/>
        <v>403.33333333333331</v>
      </c>
      <c r="C13" s="12">
        <f>0.5* Units!$G$7 * B13^2</f>
        <v>193.39917324547767</v>
      </c>
      <c r="D13" s="40">
        <f>IF(Units!$C$5/(C13*Units!$C$16)&gt;Units!$G$11,Units!$G$11,Units!$C$5/(C13*Units!$C$16))</f>
        <v>0.22191643436420894</v>
      </c>
      <c r="E13" s="30">
        <f>C13*D13*Units!$C$16</f>
        <v>10000</v>
      </c>
      <c r="F13" s="8">
        <f>E13/Units!$C$6</f>
        <v>32.173999999999999</v>
      </c>
      <c r="G13" s="41">
        <f>F13-Units!$G$5</f>
        <v>0</v>
      </c>
      <c r="H13" s="30">
        <f>550*Units!$G$15*Units!$C$13/B13</f>
        <v>1625.4545454545455</v>
      </c>
      <c r="I13" s="30">
        <f>(E13^2)/(C13*Units!$C$15^2*Units!$C$14*PI())</f>
        <v>160.29899612169149</v>
      </c>
      <c r="J13" s="30">
        <f>C13*Units!$C$18*Units!$C$16</f>
        <v>734.51072006899949</v>
      </c>
      <c r="K13" s="30">
        <f t="shared" si="1"/>
        <v>894.80971619069101</v>
      </c>
      <c r="L13" s="30">
        <f t="shared" si="2"/>
        <v>730.64482926385449</v>
      </c>
      <c r="N13" s="34"/>
      <c r="O13" s="35"/>
      <c r="P13" s="35"/>
      <c r="Q13" s="35"/>
      <c r="R13" s="35"/>
      <c r="S13" s="35"/>
      <c r="T13" s="35"/>
      <c r="U13" s="35"/>
      <c r="V13" s="35"/>
      <c r="W13" s="35"/>
      <c r="X13" s="36"/>
    </row>
    <row r="14" spans="1:24" x14ac:dyDescent="0.2">
      <c r="A14" s="30">
        <f t="shared" si="3"/>
        <v>300</v>
      </c>
      <c r="B14" s="30">
        <f t="shared" si="0"/>
        <v>440</v>
      </c>
      <c r="C14" s="12">
        <f>0.5* Units!$G$7 * B14^2</f>
        <v>230.16099956486605</v>
      </c>
      <c r="D14" s="40">
        <f>IF(Units!$C$5/(C14*Units!$C$16)&gt;Units!$G$11,Units!$G$11,Units!$C$5/(C14*Units!$C$16))</f>
        <v>0.18647144831992551</v>
      </c>
      <c r="E14" s="30">
        <f>C14*D14*Units!$C$16</f>
        <v>10000</v>
      </c>
      <c r="F14" s="8">
        <f>E14/Units!$C$6</f>
        <v>32.173999999999999</v>
      </c>
      <c r="G14" s="41">
        <f>F14-Units!$G$5</f>
        <v>0</v>
      </c>
      <c r="H14" s="30">
        <f>550*Units!$G$15*Units!$C$13/B14</f>
        <v>1490</v>
      </c>
      <c r="I14" s="30">
        <f>(E14^2)/(C14*Units!$C$15^2*Units!$C$14*PI())</f>
        <v>134.69568424114348</v>
      </c>
      <c r="J14" s="30">
        <f>C14*Units!$C$18*Units!$C$16</f>
        <v>874.12846024740463</v>
      </c>
      <c r="K14" s="30">
        <f t="shared" si="1"/>
        <v>1008.8241444885481</v>
      </c>
      <c r="L14" s="30">
        <f t="shared" si="2"/>
        <v>481.17585551145191</v>
      </c>
      <c r="N14" s="34"/>
      <c r="O14" s="35"/>
      <c r="P14" s="35"/>
      <c r="Q14" s="35"/>
      <c r="R14" s="35"/>
      <c r="S14" s="35"/>
      <c r="T14" s="35"/>
      <c r="U14" s="35"/>
      <c r="V14" s="35"/>
      <c r="W14" s="35"/>
      <c r="X14" s="36"/>
    </row>
    <row r="15" spans="1:24" x14ac:dyDescent="0.2">
      <c r="A15" s="30">
        <f t="shared" si="3"/>
        <v>325</v>
      </c>
      <c r="B15" s="30">
        <f t="shared" si="0"/>
        <v>476.66666666666669</v>
      </c>
      <c r="C15" s="12">
        <f>0.5* Units!$G$7 * B15^2</f>
        <v>270.11950643376639</v>
      </c>
      <c r="D15" s="40">
        <f>IF(Units!$C$5/(C15*Units!$C$16)&gt;Units!$G$11,Units!$G$11,Units!$C$5/(C15*Units!$C$16))</f>
        <v>0.15888691454478862</v>
      </c>
      <c r="E15" s="30">
        <f>C15*D15*Units!$C$16</f>
        <v>10000</v>
      </c>
      <c r="F15" s="8">
        <f>E15/Units!$C$6</f>
        <v>32.173999999999999</v>
      </c>
      <c r="G15" s="41">
        <f>F15-Units!$G$5</f>
        <v>0</v>
      </c>
      <c r="H15" s="30">
        <f>550*Units!$G$15*Units!$C$13/B15</f>
        <v>1375.3846153846152</v>
      </c>
      <c r="I15" s="30">
        <f>(E15^2)/(C15*Units!$C$15^2*Units!$C$14*PI())</f>
        <v>114.77028716405125</v>
      </c>
      <c r="J15" s="30">
        <f>C15*Units!$C$18*Units!$C$16</f>
        <v>1025.8868734848013</v>
      </c>
      <c r="K15" s="30">
        <f t="shared" si="1"/>
        <v>1140.6571606488526</v>
      </c>
      <c r="L15" s="30">
        <f t="shared" si="2"/>
        <v>234.72745473576265</v>
      </c>
      <c r="N15" s="34"/>
      <c r="O15" s="35"/>
      <c r="P15" s="35"/>
      <c r="Q15" s="35"/>
      <c r="R15" s="35"/>
      <c r="S15" s="35"/>
      <c r="T15" s="35"/>
      <c r="U15" s="35"/>
      <c r="V15" s="35"/>
      <c r="W15" s="35"/>
      <c r="X15" s="36"/>
    </row>
    <row r="16" spans="1:24" x14ac:dyDescent="0.2">
      <c r="A16" s="30">
        <f t="shared" si="3"/>
        <v>350</v>
      </c>
      <c r="B16" s="30">
        <f t="shared" si="0"/>
        <v>513.33333333333337</v>
      </c>
      <c r="C16" s="12">
        <f>0.5* Units!$G$7 * B16^2</f>
        <v>313.27469385217876</v>
      </c>
      <c r="D16" s="40">
        <f>IF(Units!$C$5/(C16*Units!$C$16)&gt;Units!$G$11,Units!$G$11,Units!$C$5/(C16*Units!$C$16))</f>
        <v>0.13699943141872079</v>
      </c>
      <c r="E16" s="30">
        <f>C16*D16*Units!$C$16</f>
        <v>10000</v>
      </c>
      <c r="F16" s="8">
        <f>E16/Units!$C$6</f>
        <v>32.173999999999999</v>
      </c>
      <c r="G16" s="41">
        <f>F16-Units!$G$5</f>
        <v>0</v>
      </c>
      <c r="H16" s="30">
        <f>550*Units!$G$15*Units!$C$13/B16</f>
        <v>1277.1428571428571</v>
      </c>
      <c r="I16" s="30">
        <f>(E16^2)/(C16*Units!$C$15^2*Units!$C$14*PI())</f>
        <v>98.960094544513595</v>
      </c>
      <c r="J16" s="30">
        <f>C16*Units!$C$18*Units!$C$16</f>
        <v>1189.7859597811896</v>
      </c>
      <c r="K16" s="30">
        <f t="shared" si="1"/>
        <v>1288.7460543257032</v>
      </c>
      <c r="L16" s="30">
        <f t="shared" si="2"/>
        <v>-11.603197182846088</v>
      </c>
      <c r="N16" s="34"/>
      <c r="O16" s="35"/>
      <c r="P16" s="35"/>
      <c r="Q16" s="35"/>
      <c r="R16" s="35"/>
      <c r="S16" s="35"/>
      <c r="T16" s="35"/>
      <c r="U16" s="35"/>
      <c r="V16" s="35"/>
      <c r="W16" s="35"/>
      <c r="X16" s="36"/>
    </row>
    <row r="17" spans="1:24" x14ac:dyDescent="0.2">
      <c r="A17" s="30">
        <f t="shared" si="3"/>
        <v>375</v>
      </c>
      <c r="B17" s="30">
        <f t="shared" si="0"/>
        <v>550</v>
      </c>
      <c r="C17" s="12">
        <f>0.5* Units!$G$7 * B17^2</f>
        <v>359.62656182010318</v>
      </c>
      <c r="D17" s="40">
        <f>IF(Units!$C$5/(C17*Units!$C$16)&gt;Units!$G$11,Units!$G$11,Units!$C$5/(C17*Units!$C$16))</f>
        <v>0.11934172692475234</v>
      </c>
      <c r="E17" s="30">
        <f>C17*D17*Units!$C$16</f>
        <v>10000</v>
      </c>
      <c r="F17" s="8">
        <f>E17/Units!$C$6</f>
        <v>32.173999999999999</v>
      </c>
      <c r="G17" s="41">
        <f>F17-Units!$G$5</f>
        <v>0</v>
      </c>
      <c r="H17" s="30">
        <f>550*Units!$G$15*Units!$C$13/B17</f>
        <v>1192</v>
      </c>
      <c r="I17" s="30">
        <f>(E17^2)/(C17*Units!$C$15^2*Units!$C$14*PI())</f>
        <v>86.205237914331832</v>
      </c>
      <c r="J17" s="30">
        <f>C17*Units!$C$18*Units!$C$16</f>
        <v>1365.8257191365697</v>
      </c>
      <c r="K17" s="30">
        <f t="shared" si="1"/>
        <v>1452.0309570509014</v>
      </c>
      <c r="L17" s="30">
        <f t="shared" si="2"/>
        <v>-260.03095705090141</v>
      </c>
      <c r="N17" s="34"/>
      <c r="O17" s="35"/>
      <c r="P17" s="35"/>
      <c r="Q17" s="35"/>
      <c r="R17" s="35"/>
      <c r="S17" s="35"/>
      <c r="T17" s="35"/>
      <c r="U17" s="35"/>
      <c r="V17" s="35"/>
      <c r="W17" s="35"/>
      <c r="X17" s="36"/>
    </row>
    <row r="18" spans="1:24" x14ac:dyDescent="0.2">
      <c r="A18" s="30">
        <f t="shared" si="3"/>
        <v>400</v>
      </c>
      <c r="B18" s="30">
        <f t="shared" si="0"/>
        <v>586.66666666666663</v>
      </c>
      <c r="C18" s="12">
        <f>0.5* Units!$G$7 * B18^2</f>
        <v>409.17511033753959</v>
      </c>
      <c r="D18" s="40">
        <f>IF(Units!$C$5/(C18*Units!$C$16)&gt;Units!$G$11,Units!$G$11,Units!$C$5/(C18*Units!$C$16))</f>
        <v>0.10489018967995811</v>
      </c>
      <c r="E18" s="30">
        <f>C18*D18*Units!$C$16</f>
        <v>10000</v>
      </c>
      <c r="F18" s="8">
        <f>E18/Units!$C$6</f>
        <v>32.173999999999999</v>
      </c>
      <c r="G18" s="41">
        <f>F18-Units!$G$5</f>
        <v>0</v>
      </c>
      <c r="H18" s="30">
        <f>550*Units!$G$15*Units!$C$13/B18</f>
        <v>1117.5</v>
      </c>
      <c r="I18" s="30">
        <f>(E18^2)/(C18*Units!$C$15^2*Units!$C$14*PI())</f>
        <v>75.766322385643221</v>
      </c>
      <c r="J18" s="30">
        <f>C18*Units!$C$18*Units!$C$16</f>
        <v>1554.0061515509415</v>
      </c>
      <c r="K18" s="30">
        <f t="shared" si="1"/>
        <v>1629.7724739365847</v>
      </c>
      <c r="L18" s="30">
        <f t="shared" si="2"/>
        <v>-512.27247393658467</v>
      </c>
      <c r="N18" s="37"/>
      <c r="O18" s="38"/>
      <c r="P18" s="38"/>
      <c r="Q18" s="38"/>
      <c r="R18" s="38"/>
      <c r="S18" s="38"/>
      <c r="T18" s="38"/>
      <c r="U18" s="38"/>
      <c r="V18" s="38"/>
      <c r="W18" s="38"/>
      <c r="X18" s="39"/>
    </row>
    <row r="19" spans="1:24" x14ac:dyDescent="0.2">
      <c r="A19" s="30">
        <f t="shared" si="3"/>
        <v>425</v>
      </c>
      <c r="B19" s="30">
        <f t="shared" si="0"/>
        <v>623.33333333333337</v>
      </c>
      <c r="C19" s="12">
        <f>0.5* Units!$G$7 * B19^2</f>
        <v>461.92033940448812</v>
      </c>
      <c r="D19" s="40">
        <f>IF(Units!$C$5/(C19*Units!$C$16)&gt;Units!$G$11,Units!$G$11,Units!$C$5/(C19*Units!$C$16))</f>
        <v>9.2913109197471533E-2</v>
      </c>
      <c r="E19" s="30">
        <f>C19*D19*Units!$C$16</f>
        <v>10000</v>
      </c>
      <c r="F19" s="8">
        <f>E19/Units!$C$6</f>
        <v>32.173999999999999</v>
      </c>
      <c r="G19" s="41">
        <f>F19-Units!$G$5</f>
        <v>0</v>
      </c>
      <c r="H19" s="30">
        <f>550*Units!$G$15*Units!$C$13/B19</f>
        <v>1051.7647058823529</v>
      </c>
      <c r="I19" s="30">
        <f>(E19^2)/(C19*Units!$C$15^2*Units!$C$14*PI())</f>
        <v>67.114804604583597</v>
      </c>
      <c r="J19" s="30">
        <f>C19*Units!$C$18*Units!$C$16</f>
        <v>1754.3272570243053</v>
      </c>
      <c r="K19" s="30">
        <f t="shared" si="1"/>
        <v>1821.442061628889</v>
      </c>
      <c r="L19" s="30">
        <f t="shared" si="2"/>
        <v>-769.67735574653602</v>
      </c>
    </row>
    <row r="20" spans="1:24" x14ac:dyDescent="0.2">
      <c r="A20" s="30">
        <f t="shared" si="3"/>
        <v>450</v>
      </c>
      <c r="B20" s="30">
        <f t="shared" si="0"/>
        <v>660</v>
      </c>
      <c r="C20" s="12">
        <f>0.5* Units!$G$7 * B20^2</f>
        <v>517.86224902094852</v>
      </c>
      <c r="D20" s="40">
        <f>IF(Units!$C$5/(C20*Units!$C$16)&gt;Units!$G$11,Units!$G$11,Units!$C$5/(C20*Units!$C$16))</f>
        <v>8.287619925330024E-2</v>
      </c>
      <c r="E20" s="30">
        <f>C20*D20*Units!$C$16</f>
        <v>10000</v>
      </c>
      <c r="F20" s="8">
        <f>E20/Units!$C$6</f>
        <v>32.173999999999999</v>
      </c>
      <c r="G20" s="41">
        <f>F20-Units!$G$5</f>
        <v>0</v>
      </c>
      <c r="H20" s="30">
        <f>550*Units!$G$15*Units!$C$13/B20</f>
        <v>993.33333333333337</v>
      </c>
      <c r="I20" s="30">
        <f>(E20^2)/(C20*Units!$C$15^2*Units!$C$14*PI())</f>
        <v>59.864748551619343</v>
      </c>
      <c r="J20" s="30">
        <f>C20*Units!$C$18*Units!$C$16</f>
        <v>1966.7890355566603</v>
      </c>
      <c r="K20" s="30">
        <f t="shared" si="1"/>
        <v>2026.6537841082798</v>
      </c>
      <c r="L20" s="30">
        <f t="shared" si="2"/>
        <v>-1033.3204507749465</v>
      </c>
    </row>
    <row r="23" spans="1:24" x14ac:dyDescent="0.2">
      <c r="A23" s="29" t="s">
        <v>99</v>
      </c>
      <c r="I23" s="30" t="s">
        <v>53</v>
      </c>
      <c r="J23" s="11">
        <f>Units!C18</f>
        <v>1.6299999999999999E-2</v>
      </c>
    </row>
    <row r="24" spans="1:24" x14ac:dyDescent="0.2">
      <c r="A24" s="6">
        <v>375</v>
      </c>
      <c r="B24" s="30">
        <f t="shared" ref="B24" si="4">A24*5280/3600</f>
        <v>550</v>
      </c>
      <c r="C24" s="12">
        <f>0.5* Units!$G$7 * B24^2</f>
        <v>359.62656182010318</v>
      </c>
      <c r="D24" s="40">
        <f>IF(Units!$C$5/(C24*Units!$C$16)&gt;Units!$G$11,Units!$G$11,Units!$C$5/(C24*Units!$C$16))</f>
        <v>0.11934172692475234</v>
      </c>
      <c r="E24" s="30">
        <f>C24*D24*Units!$C$16</f>
        <v>10000</v>
      </c>
      <c r="F24" s="8">
        <f>E24/Units!$C$6</f>
        <v>32.173999999999999</v>
      </c>
      <c r="G24" s="41">
        <f>F24-Units!$G$5</f>
        <v>0</v>
      </c>
      <c r="H24" s="30">
        <f>550*Units!$G$15*Units!$C$13/B24</f>
        <v>1192</v>
      </c>
      <c r="I24" s="30">
        <f>(E24^2)/(C24*Units!$C$15^2*Units!$C$14*PI())</f>
        <v>86.205237914331832</v>
      </c>
      <c r="J24" s="30">
        <f>C24*Units!$C$18*Units!$C$16</f>
        <v>1365.8257191365697</v>
      </c>
      <c r="K24" s="30">
        <f t="shared" ref="K24" si="5">I24+J24</f>
        <v>1452.0309570509014</v>
      </c>
      <c r="L24" s="25">
        <f t="shared" ref="L24" si="6">H24-K24</f>
        <v>-260.03095705090141</v>
      </c>
    </row>
    <row r="25" spans="1:24" x14ac:dyDescent="0.2">
      <c r="A25" s="30" t="s">
        <v>100</v>
      </c>
    </row>
  </sheetData>
  <mergeCells count="1">
    <mergeCell ref="A4:B4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Units</vt:lpstr>
      <vt:lpstr>Charts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2020-02-04T17:12:28Z</dcterms:created>
  <dcterms:modified xsi:type="dcterms:W3CDTF">2020-10-12T06:09:25Z</dcterms:modified>
</cp:coreProperties>
</file>